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cuments\Saison 2019-2020\Ligue\Tableaux\"/>
    </mc:Choice>
  </mc:AlternateContent>
  <bookViews>
    <workbookView xWindow="0" yWindow="0" windowWidth="20490" windowHeight="7755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Final" sheetId="2" r:id="rId6"/>
    <sheet name="Classement" sheetId="7" r:id="rId7"/>
    <sheet name="Feuil1" sheetId="14" state="hidden" r:id="rId8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Inscrits!$K$1:$K$2</definedName>
    <definedName name="Liste_joueurs">Inscrits!#REF!</definedName>
    <definedName name="Liste_Poule">Inscrits!$J$1:$J$32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Accueil!$A$1:$A$6</definedName>
    <definedName name="NB_Parties_Poules_Perdant">Accueil!$A$9:$A$14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6">Classement!$A$1:$N$17</definedName>
    <definedName name="_xlnm.Print_Area" localSheetId="5">Final!$A$1:$S$27</definedName>
    <definedName name="_xlnm.Print_Area" localSheetId="2">Inscrits!$A$1:$I$33</definedName>
    <definedName name="_xlnm.Print_Area" localSheetId="0">Points!$A$1:$D$20</definedName>
  </definedNames>
  <calcPr calcId="152511"/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2" i="7"/>
  <c r="M3" i="13" l="1"/>
  <c r="AB4" i="13" s="1"/>
  <c r="N3" i="13"/>
  <c r="J4" i="13"/>
  <c r="K4" i="13"/>
  <c r="Q4" i="13"/>
  <c r="R4" i="13"/>
  <c r="V6" i="13"/>
  <c r="G5" i="2" s="1"/>
  <c r="M5" i="13"/>
  <c r="AB5" i="13" s="1"/>
  <c r="N5" i="13"/>
  <c r="G6" i="13"/>
  <c r="U6" i="13"/>
  <c r="Z4" i="13" s="1"/>
  <c r="AR4" i="13" s="1"/>
  <c r="M7" i="13"/>
  <c r="AB6" i="13" s="1"/>
  <c r="N7" i="13"/>
  <c r="B8" i="13"/>
  <c r="Z5" i="13" s="1"/>
  <c r="AR6" i="13" s="1"/>
  <c r="C8" i="13"/>
  <c r="J8" i="13"/>
  <c r="F6" i="13"/>
  <c r="K8" i="13"/>
  <c r="Q8" i="13"/>
  <c r="R8" i="13"/>
  <c r="M9" i="13"/>
  <c r="AB7" i="13" s="1"/>
  <c r="N9" i="13"/>
  <c r="M13" i="13"/>
  <c r="AB14" i="13" s="1"/>
  <c r="N13" i="13"/>
  <c r="J14" i="13"/>
  <c r="F16" i="13" s="1"/>
  <c r="Z17" i="13" s="1"/>
  <c r="AR17" i="13" s="1"/>
  <c r="K14" i="13"/>
  <c r="G16" i="13" s="1"/>
  <c r="C18" i="13"/>
  <c r="G19" i="2" s="1"/>
  <c r="Q14" i="13"/>
  <c r="R14" i="13"/>
  <c r="M15" i="13"/>
  <c r="AB15" i="13" s="1"/>
  <c r="N15" i="13"/>
  <c r="U16" i="13"/>
  <c r="Z14" i="13" s="1"/>
  <c r="AR5" i="13" s="1"/>
  <c r="V16" i="13"/>
  <c r="G11" i="2" s="1"/>
  <c r="M17" i="13"/>
  <c r="AB16" i="13" s="1"/>
  <c r="N17" i="13"/>
  <c r="K18" i="13" s="1"/>
  <c r="F10" i="13"/>
  <c r="AK17" i="13" s="1"/>
  <c r="G10" i="13"/>
  <c r="M19" i="13"/>
  <c r="AB17" i="13" s="1"/>
  <c r="N19" i="13"/>
  <c r="R18" i="13" s="1"/>
  <c r="F20" i="13"/>
  <c r="G20" i="13"/>
  <c r="J21" i="13"/>
  <c r="M3" i="5"/>
  <c r="AB4" i="5" s="1"/>
  <c r="N3" i="5"/>
  <c r="J4" i="5"/>
  <c r="K4" i="5"/>
  <c r="Q4" i="5"/>
  <c r="R4" i="5"/>
  <c r="G20" i="5"/>
  <c r="C18" i="5"/>
  <c r="G7" i="2" s="1"/>
  <c r="M5" i="5"/>
  <c r="AB5" i="5" s="1"/>
  <c r="AD5" i="5" s="1"/>
  <c r="N5" i="5"/>
  <c r="F6" i="5"/>
  <c r="Z7" i="5" s="1"/>
  <c r="AR16" i="5" s="1"/>
  <c r="G6" i="5"/>
  <c r="M7" i="5"/>
  <c r="AB6" i="5" s="1"/>
  <c r="AC6" i="5" s="1"/>
  <c r="N7" i="5"/>
  <c r="B8" i="5"/>
  <c r="Z6" i="5" s="1"/>
  <c r="AR14" i="5" s="1"/>
  <c r="C8" i="5"/>
  <c r="G13" i="2" s="1"/>
  <c r="J8" i="5"/>
  <c r="K8" i="5"/>
  <c r="Q8" i="5"/>
  <c r="U6" i="5"/>
  <c r="Z4" i="5" s="1"/>
  <c r="AR4" i="5" s="1"/>
  <c r="R8" i="5"/>
  <c r="V6" i="5"/>
  <c r="G17" i="2" s="1"/>
  <c r="M9" i="5"/>
  <c r="AB7" i="5" s="1"/>
  <c r="AF7" i="5" s="1"/>
  <c r="N9" i="5"/>
  <c r="F10" i="5"/>
  <c r="G10" i="5"/>
  <c r="M13" i="5"/>
  <c r="AB14" i="5" s="1"/>
  <c r="N13" i="5"/>
  <c r="J14" i="5"/>
  <c r="K14" i="5"/>
  <c r="M15" i="5"/>
  <c r="AB15" i="5" s="1"/>
  <c r="N15" i="5"/>
  <c r="R14" i="5" s="1"/>
  <c r="M17" i="5"/>
  <c r="AB16" i="5" s="1"/>
  <c r="AL16" i="5" s="1"/>
  <c r="N17" i="5"/>
  <c r="J18" i="5"/>
  <c r="F16" i="5" s="1"/>
  <c r="Z17" i="5" s="1"/>
  <c r="AR17" i="5" s="1"/>
  <c r="K18" i="5"/>
  <c r="G16" i="5" s="1"/>
  <c r="Q18" i="5"/>
  <c r="U16" i="5"/>
  <c r="Z14" i="5" s="1"/>
  <c r="AR5" i="5" s="1"/>
  <c r="R18" i="5"/>
  <c r="V16" i="5"/>
  <c r="G23" i="2" s="1"/>
  <c r="M19" i="5"/>
  <c r="AB17" i="5" s="1"/>
  <c r="N19" i="5"/>
  <c r="F20" i="5"/>
  <c r="B18" i="5"/>
  <c r="Z15" i="5" s="1"/>
  <c r="AR7" i="5" s="1"/>
  <c r="AC15" i="2" s="1"/>
  <c r="J21" i="5"/>
  <c r="A14" i="12"/>
  <c r="A20" i="12"/>
  <c r="A27" i="12"/>
  <c r="A34" i="12"/>
  <c r="A41" i="12"/>
  <c r="A42" i="12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B2" i="2"/>
  <c r="F2" i="2"/>
  <c r="J2" i="2"/>
  <c r="N2" i="2"/>
  <c r="X4" i="2"/>
  <c r="AF4" i="2"/>
  <c r="AF5" i="2"/>
  <c r="J6" i="2"/>
  <c r="K6" i="2"/>
  <c r="X6" i="2"/>
  <c r="AF6" i="2"/>
  <c r="AF7" i="2"/>
  <c r="X8" i="2"/>
  <c r="AF8" i="2"/>
  <c r="AF9" i="2"/>
  <c r="X10" i="2"/>
  <c r="AF10" i="2"/>
  <c r="AF11" i="2"/>
  <c r="J12" i="2"/>
  <c r="K12" i="2"/>
  <c r="O9" i="2"/>
  <c r="AF12" i="2"/>
  <c r="X13" i="2"/>
  <c r="AF13" i="2"/>
  <c r="AF14" i="2"/>
  <c r="R15" i="2"/>
  <c r="D2" i="7" s="1"/>
  <c r="S15" i="2"/>
  <c r="X15" i="2"/>
  <c r="AF15" i="2"/>
  <c r="AF16" i="2"/>
  <c r="X17" i="2"/>
  <c r="AF17" i="2"/>
  <c r="J18" i="2"/>
  <c r="K18" i="2"/>
  <c r="AF18" i="2"/>
  <c r="X19" i="2"/>
  <c r="AF19" i="2"/>
  <c r="N21" i="2"/>
  <c r="O21" i="2"/>
  <c r="J24" i="2"/>
  <c r="D4" i="7" s="1"/>
  <c r="K24" i="2"/>
  <c r="F25" i="2"/>
  <c r="D8" i="7" s="1"/>
  <c r="G25" i="2"/>
  <c r="C35" i="3"/>
  <c r="C36" i="3"/>
  <c r="C37" i="3"/>
  <c r="C38" i="3"/>
  <c r="C39" i="3"/>
  <c r="C40" i="3"/>
  <c r="C41" i="3"/>
  <c r="C42" i="3"/>
  <c r="F5" i="2"/>
  <c r="V4" i="2" s="1"/>
  <c r="B18" i="13"/>
  <c r="Z6" i="13"/>
  <c r="AR14" i="13" s="1"/>
  <c r="D10" i="7" s="1"/>
  <c r="J10" i="7" s="1"/>
  <c r="Z7" i="13"/>
  <c r="AR16" i="13" s="1"/>
  <c r="N9" i="2"/>
  <c r="AC17" i="13"/>
  <c r="AJ4" i="13"/>
  <c r="AH4" i="13"/>
  <c r="AC4" i="13"/>
  <c r="AK4" i="13"/>
  <c r="AI4" i="13"/>
  <c r="AC4" i="2"/>
  <c r="AD15" i="13"/>
  <c r="AD7" i="13"/>
  <c r="AS4" i="13"/>
  <c r="AD4" i="2" s="1"/>
  <c r="D14" i="7" l="1"/>
  <c r="V23" i="2"/>
  <c r="Q14" i="5"/>
  <c r="J18" i="13"/>
  <c r="AH17" i="13" s="1"/>
  <c r="Q18" i="13"/>
  <c r="AF17" i="13" s="1"/>
  <c r="AI15" i="13"/>
  <c r="F11" i="2"/>
  <c r="V8" i="2" s="1"/>
  <c r="Y8" i="2" s="1"/>
  <c r="Z8" i="2" s="1"/>
  <c r="AA8" i="2" s="1"/>
  <c r="AH7" i="5"/>
  <c r="AH6" i="5"/>
  <c r="AD7" i="5"/>
  <c r="AK6" i="5"/>
  <c r="AL15" i="5"/>
  <c r="AG17" i="5"/>
  <c r="AE6" i="5"/>
  <c r="AE5" i="5"/>
  <c r="AG5" i="5"/>
  <c r="AL15" i="13"/>
  <c r="Z5" i="5"/>
  <c r="AR6" i="5" s="1"/>
  <c r="Z16" i="5"/>
  <c r="AR15" i="5" s="1"/>
  <c r="D12" i="7" s="1"/>
  <c r="Y4" i="2"/>
  <c r="AI17" i="13"/>
  <c r="AL5" i="5"/>
  <c r="AS7" i="5"/>
  <c r="AD15" i="2" s="1"/>
  <c r="AK15" i="13"/>
  <c r="AG7" i="5"/>
  <c r="F17" i="2"/>
  <c r="V13" i="2" s="1"/>
  <c r="Y13" i="2" s="1"/>
  <c r="AJ15" i="13"/>
  <c r="F13" i="2"/>
  <c r="V10" i="2" s="1"/>
  <c r="Y10" i="2" s="1"/>
  <c r="AF6" i="5"/>
  <c r="AC5" i="13"/>
  <c r="AJ5" i="13"/>
  <c r="AF5" i="13"/>
  <c r="AE5" i="13"/>
  <c r="AL5" i="13"/>
  <c r="AD5" i="13"/>
  <c r="AG5" i="13"/>
  <c r="AH5" i="13"/>
  <c r="AI5" i="13"/>
  <c r="AK5" i="13"/>
  <c r="AC10" i="2"/>
  <c r="V22" i="2"/>
  <c r="AS16" i="13"/>
  <c r="AD10" i="2" s="1"/>
  <c r="AG15" i="5"/>
  <c r="F7" i="2"/>
  <c r="AE15" i="5"/>
  <c r="AI15" i="5"/>
  <c r="AC15" i="5"/>
  <c r="AJ16" i="13"/>
  <c r="AL16" i="13"/>
  <c r="AC16" i="13"/>
  <c r="AD16" i="13"/>
  <c r="AI16" i="13"/>
  <c r="AE16" i="13"/>
  <c r="AF16" i="13"/>
  <c r="AK16" i="13"/>
  <c r="AC6" i="13"/>
  <c r="AH6" i="13"/>
  <c r="AD6" i="13"/>
  <c r="AL6" i="13"/>
  <c r="AK6" i="13"/>
  <c r="AJ6" i="13"/>
  <c r="AF6" i="13"/>
  <c r="AI6" i="13"/>
  <c r="AG6" i="13"/>
  <c r="AE6" i="13"/>
  <c r="AC14" i="5"/>
  <c r="AJ14" i="5"/>
  <c r="AD14" i="5"/>
  <c r="AG14" i="5"/>
  <c r="AE14" i="5"/>
  <c r="AH14" i="5"/>
  <c r="AK14" i="5"/>
  <c r="AI14" i="5"/>
  <c r="AL14" i="5"/>
  <c r="AF14" i="5"/>
  <c r="AJ14" i="13"/>
  <c r="AL14" i="13"/>
  <c r="AD14" i="13"/>
  <c r="AF14" i="13"/>
  <c r="AC14" i="13"/>
  <c r="AI14" i="13"/>
  <c r="AK14" i="13"/>
  <c r="AE14" i="13"/>
  <c r="AH14" i="13"/>
  <c r="AG14" i="13"/>
  <c r="AC13" i="2"/>
  <c r="AS5" i="5"/>
  <c r="AD13" i="2" s="1"/>
  <c r="AC19" i="2"/>
  <c r="D17" i="7"/>
  <c r="AS17" i="5"/>
  <c r="AD19" i="2" s="1"/>
  <c r="V27" i="2"/>
  <c r="AS5" i="13"/>
  <c r="AD5" i="2" s="1"/>
  <c r="AC5" i="2"/>
  <c r="AF4" i="5"/>
  <c r="AD4" i="5"/>
  <c r="AG4" i="5"/>
  <c r="AJ4" i="5"/>
  <c r="AH4" i="5"/>
  <c r="AK4" i="5"/>
  <c r="AE4" i="5"/>
  <c r="AL4" i="5"/>
  <c r="AI4" i="5"/>
  <c r="AC4" i="5"/>
  <c r="AS14" i="13"/>
  <c r="AD8" i="2" s="1"/>
  <c r="AC8" i="2"/>
  <c r="D16" i="7"/>
  <c r="J16" i="7" s="1"/>
  <c r="F23" i="2"/>
  <c r="V17" i="2" s="1"/>
  <c r="Y17" i="2" s="1"/>
  <c r="V20" i="2"/>
  <c r="J14" i="7"/>
  <c r="AE16" i="5"/>
  <c r="AC16" i="5"/>
  <c r="AF16" i="5"/>
  <c r="AH16" i="5"/>
  <c r="AK16" i="5"/>
  <c r="AF7" i="13"/>
  <c r="AH7" i="13"/>
  <c r="AC7" i="13"/>
  <c r="AE7" i="13"/>
  <c r="AG7" i="13"/>
  <c r="AL7" i="13"/>
  <c r="J4" i="7"/>
  <c r="AI17" i="5"/>
  <c r="AC17" i="5"/>
  <c r="AJ17" i="5"/>
  <c r="AF17" i="5"/>
  <c r="AK17" i="5"/>
  <c r="AL7" i="5"/>
  <c r="AI7" i="5"/>
  <c r="AC7" i="5"/>
  <c r="AJ7" i="5"/>
  <c r="AK7" i="5"/>
  <c r="AC12" i="2"/>
  <c r="AS4" i="5"/>
  <c r="AD12" i="2" s="1"/>
  <c r="V26" i="2"/>
  <c r="AC18" i="2"/>
  <c r="AS16" i="5"/>
  <c r="AD18" i="2" s="1"/>
  <c r="AF15" i="13"/>
  <c r="AH15" i="13"/>
  <c r="AE15" i="13"/>
  <c r="AG15" i="13"/>
  <c r="AC15" i="13"/>
  <c r="Z15" i="13"/>
  <c r="AR7" i="13" s="1"/>
  <c r="F19" i="2"/>
  <c r="Z16" i="13"/>
  <c r="AR15" i="13" s="1"/>
  <c r="V24" i="2"/>
  <c r="AS14" i="5"/>
  <c r="AD16" i="2" s="1"/>
  <c r="D11" i="7"/>
  <c r="AD16" i="5"/>
  <c r="V19" i="2"/>
  <c r="Y19" i="2" s="1"/>
  <c r="D3" i="7"/>
  <c r="AK7" i="13"/>
  <c r="J8" i="7"/>
  <c r="AD17" i="5"/>
  <c r="AH17" i="5"/>
  <c r="AL17" i="5"/>
  <c r="AE17" i="5"/>
  <c r="AJ7" i="13"/>
  <c r="J2" i="7"/>
  <c r="AC16" i="2"/>
  <c r="D15" i="7"/>
  <c r="AE7" i="5"/>
  <c r="AI16" i="5"/>
  <c r="AJ16" i="5"/>
  <c r="AC6" i="2"/>
  <c r="AS6" i="13"/>
  <c r="AD6" i="2" s="1"/>
  <c r="D5" i="7"/>
  <c r="AF15" i="5"/>
  <c r="AH15" i="5"/>
  <c r="AK15" i="5"/>
  <c r="AD15" i="5"/>
  <c r="AJ15" i="5"/>
  <c r="AJ17" i="13"/>
  <c r="AD17" i="13"/>
  <c r="AL17" i="13"/>
  <c r="AE17" i="13"/>
  <c r="AG17" i="13"/>
  <c r="AI7" i="13"/>
  <c r="AG16" i="5"/>
  <c r="AL6" i="5"/>
  <c r="AI6" i="5"/>
  <c r="AD6" i="5"/>
  <c r="AJ6" i="5"/>
  <c r="AG6" i="5"/>
  <c r="AH5" i="5"/>
  <c r="AJ5" i="5"/>
  <c r="AF5" i="5"/>
  <c r="AK5" i="5"/>
  <c r="AC5" i="5"/>
  <c r="AI5" i="5"/>
  <c r="AC11" i="2"/>
  <c r="AS17" i="13"/>
  <c r="AD11" i="2" s="1"/>
  <c r="AF4" i="13"/>
  <c r="AL4" i="13"/>
  <c r="AE4" i="13"/>
  <c r="AD4" i="13"/>
  <c r="AG4" i="13"/>
  <c r="AG16" i="13" l="1"/>
  <c r="AH16" i="13"/>
  <c r="V25" i="2"/>
  <c r="Z17" i="2"/>
  <c r="AA17" i="2" s="1"/>
  <c r="Z13" i="2"/>
  <c r="AA13" i="2" s="1"/>
  <c r="AS15" i="5"/>
  <c r="AD17" i="2" s="1"/>
  <c r="AC17" i="2"/>
  <c r="Z4" i="2"/>
  <c r="AA4" i="2" s="1"/>
  <c r="D7" i="7"/>
  <c r="AN6" i="13"/>
  <c r="AM5" i="13"/>
  <c r="AN7" i="5"/>
  <c r="AC14" i="2"/>
  <c r="AS6" i="5"/>
  <c r="AD14" i="2" s="1"/>
  <c r="AM4" i="5"/>
  <c r="AN14" i="13"/>
  <c r="AN5" i="13"/>
  <c r="AM15" i="5"/>
  <c r="AN7" i="13"/>
  <c r="D6" i="7"/>
  <c r="V6" i="2"/>
  <c r="Y6" i="2" s="1"/>
  <c r="AM5" i="5"/>
  <c r="AN4" i="5"/>
  <c r="AO4" i="5" s="1"/>
  <c r="AM14" i="5"/>
  <c r="J17" i="7"/>
  <c r="AM16" i="13"/>
  <c r="AM6" i="5"/>
  <c r="AM17" i="13"/>
  <c r="AM15" i="13"/>
  <c r="AN15" i="13"/>
  <c r="AM7" i="5"/>
  <c r="AM14" i="13"/>
  <c r="AM6" i="13"/>
  <c r="AN14" i="5"/>
  <c r="AO14" i="5" s="1"/>
  <c r="AN5" i="5"/>
  <c r="AN16" i="5"/>
  <c r="AN16" i="13"/>
  <c r="AN4" i="13"/>
  <c r="AN15" i="5"/>
  <c r="V15" i="2"/>
  <c r="D9" i="7"/>
  <c r="AM7" i="13"/>
  <c r="AM4" i="13"/>
  <c r="AN17" i="13"/>
  <c r="J5" i="7"/>
  <c r="AN17" i="5"/>
  <c r="J11" i="7"/>
  <c r="AC7" i="2"/>
  <c r="AS7" i="13"/>
  <c r="AD7" i="2" s="1"/>
  <c r="AM17" i="5"/>
  <c r="Z10" i="2"/>
  <c r="AA10" i="2" s="1"/>
  <c r="AN6" i="5"/>
  <c r="J15" i="7"/>
  <c r="Z19" i="2"/>
  <c r="AA19" i="2" s="1"/>
  <c r="AM16" i="5"/>
  <c r="J12" i="7"/>
  <c r="J3" i="7"/>
  <c r="V21" i="2"/>
  <c r="D13" i="7"/>
  <c r="AC9" i="2"/>
  <c r="AS15" i="13"/>
  <c r="AD9" i="2" s="1"/>
  <c r="AG19" i="2" l="1"/>
  <c r="AG11" i="2"/>
  <c r="AG10" i="2"/>
  <c r="AG7" i="2"/>
  <c r="AO7" i="13"/>
  <c r="J7" i="7"/>
  <c r="AO6" i="13"/>
  <c r="AO7" i="5"/>
  <c r="AH6" i="2"/>
  <c r="AH9" i="2"/>
  <c r="AH14" i="2"/>
  <c r="AO5" i="5"/>
  <c r="AO15" i="5"/>
  <c r="AO5" i="13"/>
  <c r="AG4" i="2"/>
  <c r="AO16" i="5"/>
  <c r="AO16" i="13"/>
  <c r="AO15" i="13"/>
  <c r="Z6" i="2"/>
  <c r="AA6" i="2" s="1"/>
  <c r="AO17" i="5"/>
  <c r="J6" i="7"/>
  <c r="AO14" i="13"/>
  <c r="AO17" i="13"/>
  <c r="AO6" i="5"/>
  <c r="AO4" i="13"/>
  <c r="J9" i="7"/>
  <c r="AH4" i="2"/>
  <c r="AI4" i="2" s="1"/>
  <c r="AH12" i="2"/>
  <c r="AG17" i="2"/>
  <c r="AG13" i="2"/>
  <c r="Y15" i="2"/>
  <c r="AH15" i="2"/>
  <c r="AH18" i="2"/>
  <c r="AH17" i="2"/>
  <c r="AH8" i="2"/>
  <c r="AH7" i="2"/>
  <c r="AH10" i="2"/>
  <c r="J13" i="7"/>
  <c r="AH16" i="2"/>
  <c r="AH13" i="2"/>
  <c r="AH5" i="2"/>
  <c r="AG18" i="2"/>
  <c r="AG9" i="2"/>
  <c r="AH19" i="2"/>
  <c r="AH11" i="2"/>
  <c r="AG14" i="2"/>
  <c r="AG15" i="2"/>
  <c r="AG6" i="2"/>
  <c r="AG8" i="2"/>
  <c r="AI8" i="2" s="1"/>
  <c r="AG12" i="2"/>
  <c r="AI12" i="2" s="1"/>
  <c r="AG16" i="2"/>
  <c r="AG5" i="2"/>
  <c r="AI11" i="2" l="1"/>
  <c r="AI19" i="2"/>
  <c r="AI10" i="2"/>
  <c r="AI7" i="2"/>
  <c r="AI6" i="2"/>
  <c r="AI9" i="2"/>
  <c r="AI14" i="2"/>
  <c r="AI18" i="2"/>
  <c r="AI5" i="2"/>
  <c r="AI15" i="2"/>
  <c r="AI17" i="2"/>
  <c r="AI16" i="2"/>
  <c r="AI13" i="2"/>
  <c r="Z15" i="2"/>
  <c r="AA15" i="2" s="1"/>
  <c r="G4" i="7" l="1"/>
  <c r="G7" i="7"/>
  <c r="G15" i="7"/>
  <c r="G14" i="7"/>
  <c r="G13" i="7"/>
  <c r="G8" i="7"/>
  <c r="G11" i="7"/>
  <c r="G17" i="7"/>
  <c r="G16" i="7"/>
  <c r="G5" i="7"/>
  <c r="G6" i="7"/>
  <c r="G10" i="7"/>
  <c r="G12" i="7"/>
  <c r="G3" i="7"/>
  <c r="G2" i="7"/>
  <c r="G9" i="7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<sst xmlns="http://schemas.openxmlformats.org/spreadsheetml/2006/main" count="332" uniqueCount="162">
  <si>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</si>
  <si>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</si>
  <si>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</si>
  <si>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</si>
  <si>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</si>
  <si>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</si>
  <si>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</si>
  <si>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</si>
  <si>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</si>
  <si>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</si>
  <si>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</si>
  <si>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</si>
  <si>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</si>
  <si>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</si>
  <si>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</si>
  <si>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</si>
  <si>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</si>
  <si>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</si>
  <si>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</si>
  <si>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</si>
  <si>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</si>
  <si>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</si>
  <si>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</si>
  <si>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</si>
  <si>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</si>
  <si>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</si>
  <si>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</si>
  <si>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</si>
  <si>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</si>
  <si>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</si>
  <si>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</si>
  <si>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</si>
  <si>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</si>
  <si>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</si>
  <si>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</si>
  <si>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</si>
  <si>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</si>
  <si>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</si>
  <si>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</si>
  <si>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</si>
  <si>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</si>
  <si>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</si>
  <si>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</si>
  <si>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</si>
  <si>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</si>
  <si>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</si>
  <si>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</si>
  <si>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</si>
  <si>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</si>
  <si>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</si>
  <si>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</si>
  <si>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</si>
  <si>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</si>
  <si>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</si>
  <si>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</si>
  <si>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</si>
  <si>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</si>
  <si>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C</t>
  </si>
  <si>
    <t>D</t>
  </si>
  <si>
    <t>E</t>
  </si>
  <si>
    <t>H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</si>
  <si>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</si>
  <si>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</si>
  <si>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</si>
  <si>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</si>
  <si>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</si>
  <si>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</si>
  <si>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</si>
  <si>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</si>
  <si>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</si>
  <si>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1/4 de finale</t>
  </si>
  <si>
    <t>Nb Parties Gagnantes
en 1/2 de finale</t>
  </si>
  <si>
    <t>Nb Parties Gagnantes
en Finale</t>
  </si>
  <si>
    <t>MATCHS EN 3 PARTIES GAGNANTES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</si>
  <si>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</si>
  <si>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</si>
  <si>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</si>
  <si>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</si>
  <si>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</si>
  <si>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</si>
  <si>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</si>
  <si>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</si>
  <si>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</si>
  <si>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</si>
  <si>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</si>
  <si>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</si>
  <si>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</si>
  <si>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</si>
  <si>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</si>
  <si>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</si>
  <si>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</si>
  <si>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</si>
  <si>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</si>
  <si>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</si>
  <si>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</si>
  <si>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</si>
  <si>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</si>
  <si>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</si>
  <si>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</si>
  <si>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</si>
  <si>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</si>
  <si>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</si>
  <si>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</si>
  <si>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</si>
  <si>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</si>
  <si>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</si>
  <si>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NC</t>
  </si>
  <si>
    <t>BOURG LES VALENCE</t>
  </si>
  <si>
    <t>Rhône-Alpes</t>
  </si>
  <si>
    <t>SAVONET Valérie</t>
  </si>
  <si>
    <t>SOCKEEL Aurore</t>
  </si>
  <si>
    <t>BONTOUX Sylvie</t>
  </si>
  <si>
    <t>PESQUER Jackie</t>
  </si>
  <si>
    <t>MANDY Nathalie</t>
  </si>
  <si>
    <t>SOCKEEL Marie-Pierre</t>
  </si>
  <si>
    <t>STEENHAUT Clémentine</t>
  </si>
  <si>
    <t>REDON Valérie</t>
  </si>
  <si>
    <t>RIZZA Magalie</t>
  </si>
  <si>
    <t>PAPIN Laetitia</t>
  </si>
  <si>
    <t>CHARLET Céline</t>
  </si>
  <si>
    <t>COITTE Delphine</t>
  </si>
  <si>
    <t>FESQUET Emilie</t>
  </si>
  <si>
    <t>GUIBERT Danielle</t>
  </si>
  <si>
    <t>MARINEAU Delphine</t>
  </si>
  <si>
    <t>127551V</t>
  </si>
  <si>
    <t>LES SQUALES</t>
  </si>
  <si>
    <t>157214K</t>
  </si>
  <si>
    <t>DEVIL'S POOL</t>
  </si>
  <si>
    <t>SUNS</t>
  </si>
  <si>
    <t>LYON</t>
  </si>
  <si>
    <t>B C L</t>
  </si>
  <si>
    <t>NIGHT BILLARD</t>
  </si>
  <si>
    <t>159065X</t>
  </si>
  <si>
    <t>B C B B</t>
  </si>
  <si>
    <t>BOURG EN BRESSE</t>
  </si>
  <si>
    <t>BEAUREGARD</t>
  </si>
  <si>
    <t>VILLEFRANCHE/SAONE</t>
  </si>
  <si>
    <t>157880J</t>
  </si>
  <si>
    <t>EIGHT'S POOL GAME</t>
  </si>
  <si>
    <t>NYONS</t>
  </si>
  <si>
    <t>162474C</t>
  </si>
  <si>
    <t>135919R</t>
  </si>
  <si>
    <t>167082L</t>
  </si>
  <si>
    <t>ANDRIAMPININA Nomena</t>
  </si>
  <si>
    <t>165321X</t>
  </si>
  <si>
    <t>152167Z</t>
  </si>
  <si>
    <t>119744O</t>
  </si>
  <si>
    <t>167791G</t>
  </si>
  <si>
    <t>168861V</t>
  </si>
  <si>
    <t>169039N</t>
  </si>
  <si>
    <t>156703E</t>
  </si>
  <si>
    <t>168625N</t>
  </si>
  <si>
    <t>168937C</t>
  </si>
  <si>
    <t>Eight's Pool Game</t>
  </si>
  <si>
    <t>Nyons</t>
  </si>
  <si>
    <t>2019/2020</t>
  </si>
  <si>
    <t>N°1</t>
  </si>
  <si>
    <t>CF</t>
  </si>
  <si>
    <t>RF</t>
  </si>
  <si>
    <t>W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</si>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</sst>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8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rgb="FF0000FF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2"/>
      <name val="Comic Sans MS"/>
      <family val="4"/>
    </font>
    <font>
      <sz val="22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0" fillId="0" borderId="0"/>
    <xf numFmtId="0" fontId="22" fillId="0" borderId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Protection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6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>
      <alignment vertical="center"/>
    </xf>
    <xf numFmtId="0" fontId="1" fillId="12" borderId="16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15" xfId="0" quotePrefix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center" vertical="center"/>
    </xf>
    <xf numFmtId="0" fontId="0" fillId="14" borderId="14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left" vertical="center"/>
      <protection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2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5" xfId="0" quotePrefix="1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11" borderId="34" xfId="0" applyFont="1" applyFill="1" applyBorder="1" applyAlignment="1" applyProtection="1">
      <alignment horizontal="center" vertical="center"/>
      <protection hidden="1"/>
    </xf>
    <xf numFmtId="0" fontId="5" fillId="11" borderId="35" xfId="0" applyFont="1" applyFill="1" applyBorder="1" applyAlignment="1" applyProtection="1">
      <alignment horizontal="center" vertical="center"/>
      <protection hidden="1"/>
    </xf>
    <xf numFmtId="0" fontId="5" fillId="11" borderId="36" xfId="0" applyFont="1" applyFill="1" applyBorder="1" applyAlignment="1" applyProtection="1">
      <alignment horizontal="center" vertical="center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0" xfId="0" applyFont="1" applyFill="1" applyBorder="1" applyAlignment="1" applyProtection="1">
      <alignment horizontal="left" vertical="center"/>
      <protection hidden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5" fillId="14" borderId="28" xfId="0" applyFont="1" applyFill="1" applyBorder="1" applyAlignment="1" applyProtection="1">
      <alignment horizontal="center" vertical="center"/>
      <protection hidden="1"/>
    </xf>
    <xf numFmtId="0" fontId="5" fillId="14" borderId="34" xfId="0" applyFont="1" applyFill="1" applyBorder="1" applyAlignment="1" applyProtection="1">
      <alignment horizontal="center" vertical="center"/>
      <protection hidden="1"/>
    </xf>
    <xf numFmtId="0" fontId="5" fillId="14" borderId="35" xfId="0" applyFont="1" applyFill="1" applyBorder="1" applyAlignment="1" applyProtection="1">
      <alignment horizontal="center" vertical="center"/>
      <protection hidden="1"/>
    </xf>
    <xf numFmtId="0" fontId="5" fillId="14" borderId="36" xfId="0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right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7" borderId="1" xfId="0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15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locked="0" hidden="1"/>
    </xf>
    <xf numFmtId="164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164" fontId="2" fillId="0" borderId="27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4" fontId="2" fillId="0" borderId="51" xfId="2" applyNumberFormat="1" applyFont="1" applyFill="1" applyBorder="1" applyAlignment="1" applyProtection="1">
      <alignment horizontal="left" vertical="center"/>
    </xf>
    <xf numFmtId="4" fontId="2" fillId="0" borderId="1" xfId="2" applyNumberFormat="1" applyFont="1" applyFill="1" applyBorder="1" applyAlignment="1" applyProtection="1">
      <alignment horizontal="left" vertical="center"/>
    </xf>
    <xf numFmtId="0" fontId="2" fillId="0" borderId="1" xfId="1" applyFont="1" applyBorder="1" applyProtection="1">
      <protection hidden="1"/>
    </xf>
    <xf numFmtId="4" fontId="2" fillId="0" borderId="1" xfId="2" applyNumberFormat="1" applyFont="1" applyFill="1" applyBorder="1" applyAlignment="1" applyProtection="1">
      <alignment horizontal="center" vertical="center"/>
    </xf>
    <xf numFmtId="4" fontId="2" fillId="0" borderId="15" xfId="2" applyNumberFormat="1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5" xfId="1" applyFont="1" applyBorder="1" applyAlignment="1" applyProtection="1">
      <alignment horizontal="center"/>
      <protection hidden="1"/>
    </xf>
    <xf numFmtId="4" fontId="2" fillId="0" borderId="51" xfId="2" applyNumberFormat="1" applyFont="1" applyFill="1" applyBorder="1" applyAlignment="1" applyProtection="1">
      <alignment horizontal="center" vertical="center"/>
    </xf>
    <xf numFmtId="4" fontId="2" fillId="0" borderId="52" xfId="2" applyNumberFormat="1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14" fontId="4" fillId="4" borderId="15" xfId="0" applyNumberFormat="1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center" vertical="center"/>
    </xf>
    <xf numFmtId="0" fontId="7" fillId="16" borderId="4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5" borderId="43" xfId="0" applyFont="1" applyFill="1" applyBorder="1" applyAlignment="1">
      <alignment horizontal="center" vertical="center"/>
    </xf>
    <xf numFmtId="0" fontId="11" fillId="15" borderId="44" xfId="0" applyFont="1" applyFill="1" applyBorder="1" applyAlignment="1">
      <alignment horizontal="center" vertical="center"/>
    </xf>
    <xf numFmtId="0" fontId="11" fillId="1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 applyProtection="1">
      <alignment horizontal="center"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7" fillId="10" borderId="48" xfId="0" applyFont="1" applyFill="1" applyBorder="1" applyAlignment="1" applyProtection="1">
      <alignment horizontal="center" vertical="center"/>
      <protection hidden="1"/>
    </xf>
    <xf numFmtId="0" fontId="7" fillId="10" borderId="49" xfId="0" applyFont="1" applyFill="1" applyBorder="1" applyAlignment="1" applyProtection="1">
      <alignment horizontal="center" vertical="center"/>
      <protection hidden="1"/>
    </xf>
    <xf numFmtId="0" fontId="7" fillId="10" borderId="5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3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15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0" borderId="54" xfId="0" applyFont="1" applyFill="1" applyBorder="1" applyAlignment="1" applyProtection="1">
      <alignment horizontal="center" vertical="center"/>
      <protection hidden="1"/>
    </xf>
    <xf numFmtId="0" fontId="26" fillId="18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quotePrefix="1" applyFont="1" applyFill="1" applyBorder="1" applyAlignment="1" applyProtection="1">
      <alignment horizontal="center" vertical="center"/>
      <protection hidden="1"/>
    </xf>
    <xf numFmtId="0" fontId="26" fillId="19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Alignment="1" applyProtection="1">
      <alignment vertical="center"/>
      <protection hidden="1"/>
    </xf>
    <xf numFmtId="0" fontId="27" fillId="19" borderId="16" xfId="0" applyNumberFormat="1" applyFont="1" applyFill="1" applyBorder="1" applyAlignment="1" applyProtection="1">
      <alignment horizontal="center" vertical="center"/>
      <protection hidden="1"/>
    </xf>
    <xf numFmtId="0" fontId="27" fillId="18" borderId="16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Classement" xfId="1"/>
    <cellStyle name="Normal_CLASSEMENT POOL 03-04 TOURNOI NATIONNAUX" xfId="2"/>
    <cellStyle name="Normal_Feuil1" xfId="3"/>
  </cellStyles>
  <dxfs count="168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10</xdr:row>
          <xdr:rowOff>180975</xdr:rowOff>
        </xdr:from>
        <xdr:to>
          <xdr:col>12</xdr:col>
          <xdr:colOff>1590675</xdr:colOff>
          <xdr:row>14</xdr:row>
          <xdr:rowOff>142875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19</xdr:row>
          <xdr:rowOff>180975</xdr:rowOff>
        </xdr:from>
        <xdr:to>
          <xdr:col>12</xdr:col>
          <xdr:colOff>1609725</xdr:colOff>
          <xdr:row>23</xdr:row>
          <xdr:rowOff>142875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28</xdr:row>
          <xdr:rowOff>28575</xdr:rowOff>
        </xdr:from>
        <xdr:to>
          <xdr:col>12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3</xdr:row>
          <xdr:rowOff>9525</xdr:rowOff>
        </xdr:from>
        <xdr:to>
          <xdr:col>12</xdr:col>
          <xdr:colOff>1581150</xdr:colOff>
          <xdr:row>6</xdr:row>
          <xdr:rowOff>161925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0383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409575</xdr:colOff>
      <xdr:row>2</xdr:row>
      <xdr:rowOff>342900</xdr:rowOff>
    </xdr:to>
    <xdr:pic>
      <xdr:nvPicPr>
        <xdr:cNvPr id="10384" name="Picture 17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76325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85" name="Group 24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1040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88" name="Group 43"/>
        <xdr:cNvGrpSpPr>
          <a:grpSpLocks noChangeAspect="1"/>
        </xdr:cNvGrpSpPr>
      </xdr:nvGrpSpPr>
      <xdr:grpSpPr bwMode="auto">
        <a:xfrm>
          <a:off x="11204575" y="7267575"/>
          <a:ext cx="1479550" cy="1123950"/>
          <a:chOff x="1" y="767"/>
          <a:chExt cx="122" cy="114"/>
        </a:xfrm>
      </xdr:grpSpPr>
      <xdr:sp macro="" textlink="">
        <xdr:nvSpPr>
          <xdr:cNvPr id="10390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389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4251" name="Picture 30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428625</xdr:colOff>
      <xdr:row>2</xdr:row>
      <xdr:rowOff>342900</xdr:rowOff>
    </xdr:to>
    <xdr:pic>
      <xdr:nvPicPr>
        <xdr:cNvPr id="4252" name="Picture 31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53" name="Group 37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426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56" name="Group 59"/>
        <xdr:cNvGrpSpPr>
          <a:grpSpLocks noChangeAspect="1"/>
        </xdr:cNvGrpSpPr>
      </xdr:nvGrpSpPr>
      <xdr:grpSpPr bwMode="auto">
        <a:xfrm>
          <a:off x="11636375" y="7267575"/>
          <a:ext cx="1479550" cy="1123950"/>
          <a:chOff x="1" y="767"/>
          <a:chExt cx="122" cy="114"/>
        </a:xfrm>
      </xdr:grpSpPr>
      <xdr:sp macro="" textlink="">
        <xdr:nvSpPr>
          <xdr:cNvPr id="425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425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66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67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10</xdr:row>
      <xdr:rowOff>9525</xdr:rowOff>
    </xdr:from>
    <xdr:to>
      <xdr:col>13</xdr:col>
      <xdr:colOff>1438275</xdr:colOff>
      <xdr:row>16</xdr:row>
      <xdr:rowOff>171450</xdr:rowOff>
    </xdr:to>
    <xdr:pic>
      <xdr:nvPicPr>
        <xdr:cNvPr id="9236" name="Picture 3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9525</xdr:rowOff>
    </xdr:from>
    <xdr:to>
      <xdr:col>0</xdr:col>
      <xdr:colOff>1438275</xdr:colOff>
      <xdr:row>16</xdr:row>
      <xdr:rowOff>171450</xdr:rowOff>
    </xdr:to>
    <xdr:pic>
      <xdr:nvPicPr>
        <xdr:cNvPr id="9237" name="Picture 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20"/>
  <sheetViews>
    <sheetView showGridLines="0" tabSelected="1" workbookViewId="0"/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28" t="s">
        <v>18</v>
      </c>
      <c r="B1" s="22" t="s">
        <v>43</v>
      </c>
      <c r="C1" s="14" t="s">
        <v>44</v>
      </c>
      <c r="D1" s="15" t="s">
        <v>45</v>
      </c>
    </row>
    <row r="2" spans="1:4" ht="13.5" thickBot="1" x14ac:dyDescent="0.25">
      <c r="A2" s="29">
        <v>1</v>
      </c>
      <c r="B2" s="23">
        <v>200</v>
      </c>
      <c r="C2" s="18">
        <v>142</v>
      </c>
      <c r="D2" s="19">
        <v>93</v>
      </c>
    </row>
    <row r="3" spans="1:4" ht="13.5" thickBot="1" x14ac:dyDescent="0.25">
      <c r="A3" s="30">
        <v>2</v>
      </c>
      <c r="B3" s="24">
        <v>180</v>
      </c>
      <c r="C3" s="20">
        <v>125</v>
      </c>
      <c r="D3" s="21">
        <v>79</v>
      </c>
    </row>
    <row r="4" spans="1:4" x14ac:dyDescent="0.2">
      <c r="A4" s="31">
        <v>3</v>
      </c>
      <c r="B4" s="25">
        <v>161</v>
      </c>
      <c r="C4" s="16">
        <v>109</v>
      </c>
      <c r="D4" s="17">
        <v>66</v>
      </c>
    </row>
    <row r="5" spans="1:4" ht="13.5" thickBot="1" x14ac:dyDescent="0.25">
      <c r="A5" s="32">
        <v>4</v>
      </c>
      <c r="B5" s="26">
        <v>161</v>
      </c>
      <c r="C5" s="12">
        <v>109</v>
      </c>
      <c r="D5" s="13">
        <v>66</v>
      </c>
    </row>
    <row r="6" spans="1:4" x14ac:dyDescent="0.2">
      <c r="A6" s="31">
        <v>5</v>
      </c>
      <c r="B6" s="25">
        <v>143</v>
      </c>
      <c r="C6" s="16">
        <v>94</v>
      </c>
      <c r="D6" s="17">
        <v>54</v>
      </c>
    </row>
    <row r="7" spans="1:4" x14ac:dyDescent="0.2">
      <c r="A7" s="33">
        <v>6</v>
      </c>
      <c r="B7" s="27">
        <v>143</v>
      </c>
      <c r="C7" s="10">
        <v>94</v>
      </c>
      <c r="D7" s="11">
        <v>54</v>
      </c>
    </row>
    <row r="8" spans="1:4" x14ac:dyDescent="0.2">
      <c r="A8" s="33">
        <v>7</v>
      </c>
      <c r="B8" s="27">
        <v>143</v>
      </c>
      <c r="C8" s="10">
        <v>94</v>
      </c>
      <c r="D8" s="11">
        <v>54</v>
      </c>
    </row>
    <row r="9" spans="1:4" ht="13.5" thickBot="1" x14ac:dyDescent="0.25">
      <c r="A9" s="32">
        <v>8</v>
      </c>
      <c r="B9" s="26">
        <v>143</v>
      </c>
      <c r="C9" s="12">
        <v>94</v>
      </c>
      <c r="D9" s="13">
        <v>54</v>
      </c>
    </row>
    <row r="10" spans="1:4" x14ac:dyDescent="0.2">
      <c r="A10" s="31">
        <v>9</v>
      </c>
      <c r="B10" s="25">
        <v>126</v>
      </c>
      <c r="C10" s="16">
        <v>80</v>
      </c>
      <c r="D10" s="17">
        <v>43</v>
      </c>
    </row>
    <row r="11" spans="1:4" x14ac:dyDescent="0.2">
      <c r="A11" s="33">
        <v>10</v>
      </c>
      <c r="B11" s="27">
        <v>126</v>
      </c>
      <c r="C11" s="10">
        <v>80</v>
      </c>
      <c r="D11" s="11">
        <v>43</v>
      </c>
    </row>
    <row r="12" spans="1:4" x14ac:dyDescent="0.2">
      <c r="A12" s="33">
        <v>11</v>
      </c>
      <c r="B12" s="27">
        <v>126</v>
      </c>
      <c r="C12" s="10">
        <v>80</v>
      </c>
      <c r="D12" s="11">
        <v>43</v>
      </c>
    </row>
    <row r="13" spans="1:4" ht="13.5" thickBot="1" x14ac:dyDescent="0.25">
      <c r="A13" s="32">
        <v>12</v>
      </c>
      <c r="B13" s="26">
        <v>126</v>
      </c>
      <c r="C13" s="12">
        <v>80</v>
      </c>
      <c r="D13" s="13">
        <v>43</v>
      </c>
    </row>
    <row r="14" spans="1:4" x14ac:dyDescent="0.2">
      <c r="A14" s="31">
        <v>13</v>
      </c>
      <c r="B14" s="25">
        <v>110</v>
      </c>
      <c r="C14" s="16">
        <v>67</v>
      </c>
      <c r="D14" s="17">
        <v>33</v>
      </c>
    </row>
    <row r="15" spans="1:4" x14ac:dyDescent="0.2">
      <c r="A15" s="33">
        <v>14</v>
      </c>
      <c r="B15" s="27">
        <v>110</v>
      </c>
      <c r="C15" s="10">
        <v>67</v>
      </c>
      <c r="D15" s="11">
        <v>33</v>
      </c>
    </row>
    <row r="16" spans="1:4" x14ac:dyDescent="0.2">
      <c r="A16" s="33">
        <v>15</v>
      </c>
      <c r="B16" s="27">
        <v>110</v>
      </c>
      <c r="C16" s="10">
        <v>67</v>
      </c>
      <c r="D16" s="11">
        <v>33</v>
      </c>
    </row>
    <row r="17" spans="1:4" ht="13.5" thickBot="1" x14ac:dyDescent="0.25">
      <c r="A17" s="32">
        <v>16</v>
      </c>
      <c r="B17" s="26">
        <v>110</v>
      </c>
      <c r="C17" s="12">
        <v>67</v>
      </c>
      <c r="D17" s="13">
        <v>33</v>
      </c>
    </row>
    <row r="18" spans="1:4" ht="13.5" thickBot="1" x14ac:dyDescent="0.25">
      <c r="A18" s="32" t="s">
        <v>80</v>
      </c>
      <c r="B18" s="40">
        <v>-50</v>
      </c>
      <c r="C18" s="41">
        <v>-35</v>
      </c>
      <c r="D18" s="42">
        <v>-20</v>
      </c>
    </row>
    <row r="19" spans="1:4" ht="13.5" thickBot="1" x14ac:dyDescent="0.25">
      <c r="A19" s="32" t="s">
        <v>81</v>
      </c>
      <c r="B19" s="40">
        <v>0</v>
      </c>
      <c r="C19" s="41">
        <v>0</v>
      </c>
      <c r="D19" s="42">
        <v>0</v>
      </c>
    </row>
    <row r="20" spans="1:4" ht="13.5" thickBot="1" x14ac:dyDescent="0.25">
      <c r="A20" s="32" t="s">
        <v>55</v>
      </c>
      <c r="B20" s="71">
        <v>0</v>
      </c>
      <c r="C20" s="72">
        <v>0</v>
      </c>
      <c r="D20" s="73">
        <v>0</v>
      </c>
    </row>
  </sheetData>
  <sheetProtection password="C328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128"/>
  <sheetViews>
    <sheetView showGridLines="0" topLeftCell="B1" zoomScale="75" workbookViewId="0">
      <selection activeCell="D13" sqref="D13"/>
    </sheetView>
  </sheetViews>
  <sheetFormatPr baseColWidth="10" defaultRowHeight="15" x14ac:dyDescent="0.2"/>
  <cols>
    <col min="1" max="1" width="3.28515625" style="47" hidden="1" customWidth="1"/>
    <col min="2" max="2" width="11.42578125" style="45"/>
    <col min="3" max="3" width="28.7109375" style="45" customWidth="1"/>
    <col min="4" max="4" width="33.5703125" style="45" bestFit="1" customWidth="1"/>
    <col min="5" max="5" width="11.42578125" style="45"/>
    <col min="6" max="6" width="28.7109375" style="45" customWidth="1"/>
    <col min="7" max="7" width="13.85546875" style="45" bestFit="1" customWidth="1"/>
    <col min="8" max="16384" width="11.42578125" style="45"/>
  </cols>
  <sheetData>
    <row r="1" spans="1:7" ht="15.75" thickBot="1" x14ac:dyDescent="0.25">
      <c r="A1" s="47" t="s">
        <v>55</v>
      </c>
    </row>
    <row r="2" spans="1:7" ht="25.5" thickBot="1" x14ac:dyDescent="0.25">
      <c r="A2" s="47" t="s">
        <v>50</v>
      </c>
      <c r="C2" s="191" t="s">
        <v>65</v>
      </c>
      <c r="D2" s="192"/>
      <c r="E2" s="192"/>
      <c r="F2" s="192"/>
      <c r="G2" s="193"/>
    </row>
    <row r="3" spans="1:7" ht="30" customHeight="1" thickBot="1" x14ac:dyDescent="0.25">
      <c r="A3" s="47">
        <v>0</v>
      </c>
    </row>
    <row r="4" spans="1:7" ht="20.25" thickBot="1" x14ac:dyDescent="0.25">
      <c r="A4" s="47">
        <v>1</v>
      </c>
      <c r="C4" s="51" t="s">
        <v>39</v>
      </c>
      <c r="D4" s="59" t="s">
        <v>108</v>
      </c>
      <c r="F4" s="52" t="s">
        <v>47</v>
      </c>
      <c r="G4" s="59" t="s">
        <v>155</v>
      </c>
    </row>
    <row r="5" spans="1:7" ht="20.25" customHeight="1" thickBot="1" x14ac:dyDescent="0.25">
      <c r="A5" s="47">
        <v>2</v>
      </c>
      <c r="C5" s="46"/>
      <c r="D5" s="61"/>
      <c r="F5" s="46"/>
      <c r="G5" s="60"/>
    </row>
    <row r="6" spans="1:7" ht="20.25" thickBot="1" x14ac:dyDescent="0.25">
      <c r="A6" s="47">
        <v>3</v>
      </c>
      <c r="C6" s="51" t="s">
        <v>46</v>
      </c>
      <c r="D6" s="190">
        <v>43758</v>
      </c>
      <c r="F6" s="52" t="s">
        <v>40</v>
      </c>
      <c r="G6" s="59" t="s">
        <v>156</v>
      </c>
    </row>
    <row r="7" spans="1:7" ht="20.25" customHeight="1" thickBot="1" x14ac:dyDescent="0.25">
      <c r="A7" s="47">
        <v>4</v>
      </c>
      <c r="C7" s="46"/>
      <c r="D7" s="61"/>
      <c r="G7" s="61"/>
    </row>
    <row r="8" spans="1:7" ht="20.25" thickBot="1" x14ac:dyDescent="0.25">
      <c r="A8" s="47">
        <v>5</v>
      </c>
      <c r="C8" s="51" t="s">
        <v>66</v>
      </c>
      <c r="D8" s="59" t="s">
        <v>153</v>
      </c>
      <c r="F8" s="52" t="s">
        <v>41</v>
      </c>
      <c r="G8" s="59" t="s">
        <v>43</v>
      </c>
    </row>
    <row r="9" spans="1:7" ht="20.25" customHeight="1" thickBot="1" x14ac:dyDescent="0.25">
      <c r="A9" s="62" t="s">
        <v>55</v>
      </c>
      <c r="C9" s="46"/>
      <c r="D9" s="61"/>
      <c r="F9" s="46"/>
      <c r="G9" s="60"/>
    </row>
    <row r="10" spans="1:7" ht="20.25" thickBot="1" x14ac:dyDescent="0.25">
      <c r="A10" s="62" t="s">
        <v>50</v>
      </c>
      <c r="C10" s="51" t="s">
        <v>64</v>
      </c>
      <c r="D10" s="59" t="s">
        <v>154</v>
      </c>
      <c r="F10" s="52" t="s">
        <v>42</v>
      </c>
      <c r="G10" s="59">
        <v>16</v>
      </c>
    </row>
    <row r="11" spans="1:7" ht="20.25" customHeight="1" thickBot="1" x14ac:dyDescent="0.25">
      <c r="A11" s="62">
        <v>0</v>
      </c>
    </row>
    <row r="12" spans="1:7" ht="39.75" thickBot="1" x14ac:dyDescent="0.25">
      <c r="A12" s="62">
        <v>1</v>
      </c>
      <c r="C12" s="54" t="s">
        <v>68</v>
      </c>
      <c r="D12" s="53">
        <v>0</v>
      </c>
      <c r="G12" s="178"/>
    </row>
    <row r="13" spans="1:7" ht="20.25" customHeight="1" thickBot="1" x14ac:dyDescent="0.25">
      <c r="A13" s="62">
        <v>2</v>
      </c>
    </row>
    <row r="14" spans="1:7" ht="39.75" thickBot="1" x14ac:dyDescent="0.25">
      <c r="A14" s="62">
        <f>IF(G18=3,3,"")</f>
        <v>3</v>
      </c>
      <c r="C14" s="54" t="s">
        <v>67</v>
      </c>
      <c r="D14" s="53">
        <v>0</v>
      </c>
      <c r="F14" s="54" t="s">
        <v>75</v>
      </c>
      <c r="G14" s="53">
        <v>5</v>
      </c>
    </row>
    <row r="15" spans="1:7" ht="30" customHeight="1" thickBot="1" x14ac:dyDescent="0.25">
      <c r="A15" s="70" t="s">
        <v>55</v>
      </c>
    </row>
    <row r="16" spans="1:7" ht="25.5" thickBot="1" x14ac:dyDescent="0.25">
      <c r="A16" s="70">
        <v>0</v>
      </c>
      <c r="C16" s="196" t="s">
        <v>91</v>
      </c>
      <c r="D16" s="197"/>
      <c r="E16" s="197"/>
      <c r="F16" s="197"/>
      <c r="G16" s="198"/>
    </row>
    <row r="17" spans="1:7" ht="30" customHeight="1" thickBot="1" x14ac:dyDescent="0.25">
      <c r="A17" s="70">
        <v>1</v>
      </c>
    </row>
    <row r="18" spans="1:7" s="35" customFormat="1" ht="59.25" thickBot="1" x14ac:dyDescent="0.25">
      <c r="A18" s="70">
        <v>2</v>
      </c>
      <c r="C18" s="56" t="s">
        <v>77</v>
      </c>
      <c r="D18" s="53">
        <v>3</v>
      </c>
      <c r="E18" s="45"/>
      <c r="F18" s="56" t="s">
        <v>76</v>
      </c>
      <c r="G18" s="53">
        <v>3</v>
      </c>
    </row>
    <row r="19" spans="1:7" ht="20.25" customHeight="1" thickBot="1" x14ac:dyDescent="0.25">
      <c r="A19" s="70">
        <v>3</v>
      </c>
    </row>
    <row r="20" spans="1:7" ht="39.75" thickBot="1" x14ac:dyDescent="0.25">
      <c r="A20" s="70" t="str">
        <f>IF(D20=4,4,"")</f>
        <v/>
      </c>
      <c r="F20" s="56" t="s">
        <v>70</v>
      </c>
      <c r="G20" s="53">
        <v>4</v>
      </c>
    </row>
    <row r="21" spans="1:7" ht="20.25" customHeight="1" thickBot="1" x14ac:dyDescent="0.25"/>
    <row r="22" spans="1:7" ht="39.75" thickBot="1" x14ac:dyDescent="0.25">
      <c r="A22" s="62" t="s">
        <v>55</v>
      </c>
      <c r="C22" s="56" t="s">
        <v>71</v>
      </c>
      <c r="D22" s="53">
        <v>4</v>
      </c>
      <c r="F22" s="56" t="s">
        <v>72</v>
      </c>
      <c r="G22" s="53">
        <v>5</v>
      </c>
    </row>
    <row r="23" spans="1:7" x14ac:dyDescent="0.2">
      <c r="A23" s="62">
        <v>0</v>
      </c>
    </row>
    <row r="24" spans="1:7" x14ac:dyDescent="0.2">
      <c r="A24" s="62">
        <v>1</v>
      </c>
    </row>
    <row r="25" spans="1:7" ht="20.25" hidden="1" thickBot="1" x14ac:dyDescent="0.25">
      <c r="A25" s="62">
        <v>2</v>
      </c>
      <c r="C25" s="55" t="s">
        <v>51</v>
      </c>
      <c r="D25" s="194" t="s">
        <v>92</v>
      </c>
      <c r="E25" s="195"/>
      <c r="F25" s="195"/>
      <c r="G25" s="195"/>
    </row>
    <row r="26" spans="1:7" ht="20.25" hidden="1" thickBot="1" x14ac:dyDescent="0.25">
      <c r="A26" s="62">
        <v>3</v>
      </c>
      <c r="C26" s="55" t="s">
        <v>52</v>
      </c>
      <c r="D26" s="194" t="s">
        <v>93</v>
      </c>
      <c r="E26" s="195"/>
      <c r="F26" s="195"/>
      <c r="G26" s="195"/>
    </row>
    <row r="27" spans="1:7" x14ac:dyDescent="0.2">
      <c r="A27" s="62">
        <f>IF(G20=4,4,"")</f>
        <v>4</v>
      </c>
      <c r="C27" s="48"/>
      <c r="D27" s="49"/>
    </row>
    <row r="28" spans="1:7" x14ac:dyDescent="0.2">
      <c r="C28" s="48"/>
      <c r="D28" s="49"/>
    </row>
    <row r="29" spans="1:7" x14ac:dyDescent="0.2">
      <c r="A29" s="62" t="s">
        <v>55</v>
      </c>
    </row>
    <row r="30" spans="1:7" x14ac:dyDescent="0.2">
      <c r="A30" s="62">
        <v>0</v>
      </c>
    </row>
    <row r="31" spans="1:7" x14ac:dyDescent="0.2">
      <c r="A31" s="62">
        <v>1</v>
      </c>
    </row>
    <row r="32" spans="1:7" x14ac:dyDescent="0.2">
      <c r="A32" s="62">
        <v>2</v>
      </c>
      <c r="C32" s="48"/>
      <c r="D32" s="49"/>
    </row>
    <row r="33" spans="1:1" x14ac:dyDescent="0.2">
      <c r="A33" s="62">
        <v>3</v>
      </c>
    </row>
    <row r="34" spans="1:1" x14ac:dyDescent="0.2">
      <c r="A34" s="62">
        <f>IF(D22=4,4,"")</f>
        <v>4</v>
      </c>
    </row>
    <row r="36" spans="1:1" x14ac:dyDescent="0.2">
      <c r="A36" s="62" t="s">
        <v>55</v>
      </c>
    </row>
    <row r="37" spans="1:1" x14ac:dyDescent="0.2">
      <c r="A37" s="62">
        <v>0</v>
      </c>
    </row>
    <row r="38" spans="1:1" x14ac:dyDescent="0.2">
      <c r="A38" s="62">
        <v>1</v>
      </c>
    </row>
    <row r="39" spans="1:1" x14ac:dyDescent="0.2">
      <c r="A39" s="62">
        <v>2</v>
      </c>
    </row>
    <row r="40" spans="1:1" x14ac:dyDescent="0.2">
      <c r="A40" s="62">
        <v>3</v>
      </c>
    </row>
    <row r="41" spans="1:1" x14ac:dyDescent="0.2">
      <c r="A41" s="62">
        <f>IF(G22&gt;3,4,"")</f>
        <v>4</v>
      </c>
    </row>
    <row r="42" spans="1:1" x14ac:dyDescent="0.2">
      <c r="A42" s="62">
        <f>IF(G22=5,5,"")</f>
        <v>5</v>
      </c>
    </row>
    <row r="44" spans="1:1" x14ac:dyDescent="0.2">
      <c r="A44" s="47">
        <v>1</v>
      </c>
    </row>
    <row r="45" spans="1:1" x14ac:dyDescent="0.2">
      <c r="A45" s="47">
        <v>2</v>
      </c>
    </row>
    <row r="46" spans="1:1" x14ac:dyDescent="0.2">
      <c r="A46" s="47">
        <v>3</v>
      </c>
    </row>
    <row r="47" spans="1:1" x14ac:dyDescent="0.2">
      <c r="A47" s="47">
        <v>4</v>
      </c>
    </row>
    <row r="48" spans="1:1" x14ac:dyDescent="0.2">
      <c r="A48" s="47">
        <v>5</v>
      </c>
    </row>
    <row r="49" spans="1:1" x14ac:dyDescent="0.2">
      <c r="A49" s="47">
        <v>6</v>
      </c>
    </row>
    <row r="50" spans="1:1" x14ac:dyDescent="0.2">
      <c r="A50" s="47">
        <v>7</v>
      </c>
    </row>
    <row r="51" spans="1:1" x14ac:dyDescent="0.2">
      <c r="A51" s="47">
        <v>8</v>
      </c>
    </row>
    <row r="52" spans="1:1" x14ac:dyDescent="0.2">
      <c r="A52" s="47">
        <v>9</v>
      </c>
    </row>
    <row r="53" spans="1:1" x14ac:dyDescent="0.2">
      <c r="A53" s="47">
        <v>10</v>
      </c>
    </row>
    <row r="54" spans="1:1" x14ac:dyDescent="0.2">
      <c r="A54" s="47">
        <v>11</v>
      </c>
    </row>
    <row r="55" spans="1:1" x14ac:dyDescent="0.2">
      <c r="A55" s="47">
        <v>12</v>
      </c>
    </row>
    <row r="56" spans="1:1" x14ac:dyDescent="0.2">
      <c r="A56" s="47">
        <v>13</v>
      </c>
    </row>
    <row r="57" spans="1:1" x14ac:dyDescent="0.2">
      <c r="A57" s="47">
        <v>14</v>
      </c>
    </row>
    <row r="58" spans="1:1" x14ac:dyDescent="0.2">
      <c r="A58" s="47">
        <v>15</v>
      </c>
    </row>
    <row r="59" spans="1:1" x14ac:dyDescent="0.2">
      <c r="A59" s="47">
        <v>16</v>
      </c>
    </row>
    <row r="60" spans="1:1" x14ac:dyDescent="0.2">
      <c r="A60" s="47">
        <v>17</v>
      </c>
    </row>
    <row r="61" spans="1:1" x14ac:dyDescent="0.2">
      <c r="A61" s="47">
        <v>18</v>
      </c>
    </row>
    <row r="62" spans="1:1" x14ac:dyDescent="0.2">
      <c r="A62" s="47">
        <v>19</v>
      </c>
    </row>
    <row r="63" spans="1:1" x14ac:dyDescent="0.2">
      <c r="A63" s="47">
        <v>20</v>
      </c>
    </row>
    <row r="64" spans="1:1" x14ac:dyDescent="0.2">
      <c r="A64" s="47">
        <v>21</v>
      </c>
    </row>
    <row r="65" spans="1:1" x14ac:dyDescent="0.2">
      <c r="A65" s="47">
        <v>22</v>
      </c>
    </row>
    <row r="66" spans="1:1" x14ac:dyDescent="0.2">
      <c r="A66" s="47">
        <v>23</v>
      </c>
    </row>
    <row r="67" spans="1:1" x14ac:dyDescent="0.2">
      <c r="A67" s="47">
        <v>24</v>
      </c>
    </row>
    <row r="68" spans="1:1" x14ac:dyDescent="0.2">
      <c r="A68" s="47" t="s">
        <v>55</v>
      </c>
    </row>
    <row r="69" spans="1:1" x14ac:dyDescent="0.2">
      <c r="A69" s="47" t="s">
        <v>56</v>
      </c>
    </row>
    <row r="70" spans="1:1" x14ac:dyDescent="0.2">
      <c r="A70" s="47" t="s">
        <v>57</v>
      </c>
    </row>
    <row r="71" spans="1:1" x14ac:dyDescent="0.2">
      <c r="A71" s="47" t="s">
        <v>58</v>
      </c>
    </row>
    <row r="72" spans="1:1" x14ac:dyDescent="0.2">
      <c r="A72" s="47" t="s">
        <v>59</v>
      </c>
    </row>
    <row r="73" spans="1:1" x14ac:dyDescent="0.2">
      <c r="A73" s="47" t="s">
        <v>50</v>
      </c>
    </row>
    <row r="74" spans="1:1" x14ac:dyDescent="0.2">
      <c r="A74" s="47" t="s">
        <v>2</v>
      </c>
    </row>
    <row r="75" spans="1:1" x14ac:dyDescent="0.2">
      <c r="A75" s="47" t="s">
        <v>60</v>
      </c>
    </row>
    <row r="76" spans="1:1" x14ac:dyDescent="0.2">
      <c r="A76" s="47" t="s">
        <v>82</v>
      </c>
    </row>
    <row r="77" spans="1:1" x14ac:dyDescent="0.2">
      <c r="A77" s="47" t="s">
        <v>83</v>
      </c>
    </row>
    <row r="78" spans="1:1" x14ac:dyDescent="0.2">
      <c r="A78" s="47" t="s">
        <v>84</v>
      </c>
    </row>
    <row r="79" spans="1:1" x14ac:dyDescent="0.2">
      <c r="A79" s="47" t="s">
        <v>85</v>
      </c>
    </row>
    <row r="80" spans="1:1" x14ac:dyDescent="0.2">
      <c r="A80" s="47" t="s">
        <v>86</v>
      </c>
    </row>
    <row r="81" spans="1:1" x14ac:dyDescent="0.2">
      <c r="A81" s="47" t="s">
        <v>87</v>
      </c>
    </row>
    <row r="82" spans="1:1" x14ac:dyDescent="0.2">
      <c r="A82" s="47" t="s">
        <v>88</v>
      </c>
    </row>
    <row r="83" spans="1:1" x14ac:dyDescent="0.2">
      <c r="A83" s="47" t="s">
        <v>3</v>
      </c>
    </row>
    <row r="84" spans="1:1" x14ac:dyDescent="0.2">
      <c r="A84" s="47" t="s">
        <v>89</v>
      </c>
    </row>
    <row r="128" spans="1:1" x14ac:dyDescent="0.2">
      <c r="A128" s="74" t="s">
        <v>94</v>
      </c>
    </row>
  </sheetData>
  <mergeCells count="4">
    <mergeCell ref="C2:G2"/>
    <mergeCell ref="D25:G25"/>
    <mergeCell ref="D26:G26"/>
    <mergeCell ref="C16:G16"/>
  </mergeCells>
  <phoneticPr fontId="0" type="noConversion"/>
  <dataValidations disablePrompts="1" count="3">
    <dataValidation type="list" allowBlank="1" showInputMessage="1" showErrorMessage="1" sqref="G18">
      <formula1>$A$18:$A$19</formula1>
    </dataValidation>
    <dataValidation type="list" allowBlank="1" showInputMessage="1" showErrorMessage="1" sqref="G22">
      <formula1>$A$6:$A$8</formula1>
    </dataValidation>
    <dataValidation type="list" allowBlank="1" showInputMessage="1" showErrorMessage="1" sqref="D22 G20">
      <formula1>$A$6:$A$7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42"/>
  <sheetViews>
    <sheetView showGridLines="0" zoomScale="75" zoomScaleNormal="75" workbookViewId="0">
      <selection activeCell="E9" sqref="E9"/>
    </sheetView>
  </sheetViews>
  <sheetFormatPr baseColWidth="10" defaultRowHeight="15" x14ac:dyDescent="0.3"/>
  <cols>
    <col min="1" max="1" width="15" style="7" bestFit="1" customWidth="1"/>
    <col min="2" max="2" width="22" style="4" bestFit="1" customWidth="1"/>
    <col min="3" max="3" width="16.28515625" style="7" bestFit="1" customWidth="1"/>
    <col min="4" max="4" width="20.140625" style="7" customWidth="1"/>
    <col min="5" max="5" width="24.5703125" style="7" customWidth="1"/>
    <col min="6" max="6" width="16.140625" style="7" bestFit="1" customWidth="1"/>
    <col min="7" max="7" width="16.5703125" style="7" bestFit="1" customWidth="1"/>
    <col min="8" max="8" width="11" style="7" bestFit="1" customWidth="1"/>
    <col min="9" max="9" width="12.140625" style="7" bestFit="1" customWidth="1"/>
    <col min="10" max="10" width="3.28515625" style="7" hidden="1" customWidth="1"/>
    <col min="11" max="11" width="3.28515625" style="38" hidden="1" customWidth="1"/>
    <col min="12" max="12" width="11.42578125" style="4"/>
    <col min="13" max="13" width="26.140625" style="34" bestFit="1" customWidth="1"/>
    <col min="14" max="16384" width="11.42578125" style="4"/>
  </cols>
  <sheetData>
    <row r="1" spans="1:13" s="48" customFormat="1" ht="45" x14ac:dyDescent="0.2">
      <c r="A1" s="63" t="s">
        <v>17</v>
      </c>
      <c r="B1" s="64" t="s">
        <v>54</v>
      </c>
      <c r="C1" s="63" t="s">
        <v>16</v>
      </c>
      <c r="D1" s="63" t="s">
        <v>61</v>
      </c>
      <c r="E1" s="63" t="s">
        <v>62</v>
      </c>
      <c r="F1" s="63" t="s">
        <v>53</v>
      </c>
      <c r="G1" s="65" t="s">
        <v>79</v>
      </c>
      <c r="H1" s="65" t="s">
        <v>78</v>
      </c>
      <c r="I1" s="65" t="s">
        <v>90</v>
      </c>
      <c r="J1" s="66">
        <v>1</v>
      </c>
      <c r="K1" s="67" t="s">
        <v>49</v>
      </c>
      <c r="M1" s="199">
        <v>1</v>
      </c>
    </row>
    <row r="2" spans="1:13" ht="15.75" thickBot="1" x14ac:dyDescent="0.35">
      <c r="A2" s="6">
        <v>1</v>
      </c>
      <c r="B2" s="179" t="s">
        <v>109</v>
      </c>
      <c r="C2" s="189">
        <v>1</v>
      </c>
      <c r="D2" s="187" t="s">
        <v>125</v>
      </c>
      <c r="E2" s="187" t="s">
        <v>107</v>
      </c>
      <c r="F2" s="188" t="s">
        <v>124</v>
      </c>
      <c r="G2" s="6"/>
      <c r="H2" s="6" t="s">
        <v>105</v>
      </c>
      <c r="I2" s="6"/>
      <c r="J2" s="5">
        <v>2</v>
      </c>
      <c r="K2" s="39" t="s">
        <v>105</v>
      </c>
      <c r="M2" s="200"/>
    </row>
    <row r="3" spans="1:13" x14ac:dyDescent="0.3">
      <c r="A3" s="6">
        <v>2</v>
      </c>
      <c r="B3" s="180" t="s">
        <v>110</v>
      </c>
      <c r="C3" s="189">
        <v>2</v>
      </c>
      <c r="D3" s="182" t="s">
        <v>127</v>
      </c>
      <c r="E3" s="182"/>
      <c r="F3" s="183" t="s">
        <v>126</v>
      </c>
      <c r="G3" s="6"/>
      <c r="H3" s="6" t="s">
        <v>105</v>
      </c>
      <c r="I3" s="6"/>
      <c r="J3" s="5">
        <v>3</v>
      </c>
      <c r="K3" s="36"/>
      <c r="M3" s="50"/>
    </row>
    <row r="4" spans="1:13" x14ac:dyDescent="0.3">
      <c r="A4" s="6">
        <v>3</v>
      </c>
      <c r="B4" s="180" t="s">
        <v>111</v>
      </c>
      <c r="C4" s="189">
        <v>3</v>
      </c>
      <c r="D4" s="182" t="s">
        <v>138</v>
      </c>
      <c r="E4" s="182" t="s">
        <v>139</v>
      </c>
      <c r="F4" s="184" t="s">
        <v>137</v>
      </c>
      <c r="G4" s="6"/>
      <c r="H4" s="6" t="s">
        <v>105</v>
      </c>
      <c r="I4" s="6"/>
      <c r="J4" s="5">
        <v>4</v>
      </c>
      <c r="K4" s="36"/>
      <c r="M4" s="50"/>
    </row>
    <row r="5" spans="1:13" x14ac:dyDescent="0.3">
      <c r="A5" s="6">
        <v>4</v>
      </c>
      <c r="B5" s="180" t="s">
        <v>112</v>
      </c>
      <c r="C5" s="189">
        <v>4</v>
      </c>
      <c r="D5" s="182" t="s">
        <v>130</v>
      </c>
      <c r="E5" s="182" t="s">
        <v>129</v>
      </c>
      <c r="F5" s="183" t="s">
        <v>140</v>
      </c>
      <c r="G5" s="6"/>
      <c r="H5" s="6" t="s">
        <v>105</v>
      </c>
      <c r="I5" s="6"/>
      <c r="J5" s="5">
        <v>5</v>
      </c>
      <c r="K5" s="36"/>
      <c r="M5" s="50"/>
    </row>
    <row r="6" spans="1:13" x14ac:dyDescent="0.3">
      <c r="A6" s="6">
        <v>5</v>
      </c>
      <c r="B6" s="181" t="s">
        <v>113</v>
      </c>
      <c r="C6" s="189">
        <v>6</v>
      </c>
      <c r="D6" s="185" t="s">
        <v>133</v>
      </c>
      <c r="E6" s="185" t="s">
        <v>134</v>
      </c>
      <c r="F6" s="185" t="s">
        <v>141</v>
      </c>
      <c r="G6" s="6"/>
      <c r="H6" s="6" t="s">
        <v>105</v>
      </c>
      <c r="I6" s="6"/>
      <c r="J6" s="5">
        <v>6</v>
      </c>
      <c r="K6" s="36"/>
      <c r="M6" s="50"/>
    </row>
    <row r="7" spans="1:13" x14ac:dyDescent="0.3">
      <c r="A7" s="6">
        <v>6</v>
      </c>
      <c r="B7" s="181" t="s">
        <v>114</v>
      </c>
      <c r="C7" s="189">
        <v>8</v>
      </c>
      <c r="D7" s="185" t="s">
        <v>127</v>
      </c>
      <c r="E7" s="185"/>
      <c r="F7" s="186" t="s">
        <v>132</v>
      </c>
      <c r="G7" s="6"/>
      <c r="H7" s="6" t="s">
        <v>105</v>
      </c>
      <c r="I7" s="6"/>
      <c r="J7" s="5">
        <v>7</v>
      </c>
      <c r="K7" s="36"/>
      <c r="M7" s="50"/>
    </row>
    <row r="8" spans="1:13" ht="15.75" thickBot="1" x14ac:dyDescent="0.35">
      <c r="A8" s="6">
        <v>7</v>
      </c>
      <c r="B8" s="181" t="s">
        <v>143</v>
      </c>
      <c r="C8" s="189">
        <v>10</v>
      </c>
      <c r="D8" s="185" t="s">
        <v>130</v>
      </c>
      <c r="E8" s="185" t="s">
        <v>129</v>
      </c>
      <c r="F8" s="186" t="s">
        <v>142</v>
      </c>
      <c r="G8" s="6"/>
      <c r="H8" s="6" t="s">
        <v>49</v>
      </c>
      <c r="I8" s="6"/>
      <c r="J8" s="5">
        <v>8</v>
      </c>
      <c r="K8" s="36"/>
      <c r="M8" s="50"/>
    </row>
    <row r="9" spans="1:13" x14ac:dyDescent="0.3">
      <c r="A9" s="6">
        <v>8</v>
      </c>
      <c r="B9" s="180" t="s">
        <v>115</v>
      </c>
      <c r="C9" s="189">
        <v>11</v>
      </c>
      <c r="D9" s="182" t="s">
        <v>138</v>
      </c>
      <c r="E9" s="182" t="s">
        <v>139</v>
      </c>
      <c r="F9" s="183" t="s">
        <v>144</v>
      </c>
      <c r="G9" s="6"/>
      <c r="H9" s="6" t="s">
        <v>105</v>
      </c>
      <c r="I9" s="6"/>
      <c r="J9" s="5">
        <v>9</v>
      </c>
      <c r="K9" s="36"/>
      <c r="M9" s="199">
        <v>2</v>
      </c>
    </row>
    <row r="10" spans="1:13" ht="15.75" thickBot="1" x14ac:dyDescent="0.35">
      <c r="A10" s="6">
        <v>9</v>
      </c>
      <c r="B10" s="181" t="s">
        <v>116</v>
      </c>
      <c r="C10" s="189">
        <v>14</v>
      </c>
      <c r="D10" s="185" t="s">
        <v>131</v>
      </c>
      <c r="E10" s="185" t="s">
        <v>135</v>
      </c>
      <c r="F10" s="186" t="s">
        <v>145</v>
      </c>
      <c r="G10" s="6"/>
      <c r="H10" s="6" t="s">
        <v>105</v>
      </c>
      <c r="I10" s="6"/>
      <c r="J10" s="5">
        <v>10</v>
      </c>
      <c r="K10" s="36"/>
      <c r="M10" s="200"/>
    </row>
    <row r="11" spans="1:13" x14ac:dyDescent="0.3">
      <c r="A11" s="6">
        <v>10</v>
      </c>
      <c r="B11" s="180" t="s">
        <v>117</v>
      </c>
      <c r="C11" s="189">
        <v>20</v>
      </c>
      <c r="D11" s="182" t="s">
        <v>138</v>
      </c>
      <c r="E11" s="182" t="s">
        <v>139</v>
      </c>
      <c r="F11" s="182" t="s">
        <v>147</v>
      </c>
      <c r="G11" s="6"/>
      <c r="H11" s="6" t="s">
        <v>105</v>
      </c>
      <c r="I11" s="6"/>
      <c r="J11" s="5">
        <v>11</v>
      </c>
      <c r="K11" s="36"/>
      <c r="M11" s="50"/>
    </row>
    <row r="12" spans="1:13" x14ac:dyDescent="0.3">
      <c r="A12" s="6">
        <v>11</v>
      </c>
      <c r="B12" s="180" t="s">
        <v>118</v>
      </c>
      <c r="C12" s="189" t="s">
        <v>106</v>
      </c>
      <c r="D12" s="182" t="s">
        <v>125</v>
      </c>
      <c r="E12" s="182" t="s">
        <v>107</v>
      </c>
      <c r="F12" s="184" t="s">
        <v>146</v>
      </c>
      <c r="G12" s="6"/>
      <c r="H12" s="6" t="s">
        <v>105</v>
      </c>
      <c r="I12" s="6"/>
      <c r="J12" s="5">
        <v>12</v>
      </c>
      <c r="K12" s="36"/>
      <c r="M12" s="50"/>
    </row>
    <row r="13" spans="1:13" x14ac:dyDescent="0.3">
      <c r="A13" s="6">
        <v>12</v>
      </c>
      <c r="B13" s="181" t="s">
        <v>119</v>
      </c>
      <c r="C13" s="189" t="s">
        <v>106</v>
      </c>
      <c r="D13" s="185" t="s">
        <v>131</v>
      </c>
      <c r="E13" s="185" t="s">
        <v>135</v>
      </c>
      <c r="F13" s="186" t="s">
        <v>148</v>
      </c>
      <c r="G13" s="6"/>
      <c r="H13" s="6" t="s">
        <v>105</v>
      </c>
      <c r="I13" s="6"/>
      <c r="J13" s="5">
        <v>13</v>
      </c>
      <c r="K13" s="36"/>
      <c r="M13" s="50"/>
    </row>
    <row r="14" spans="1:13" x14ac:dyDescent="0.3">
      <c r="A14" s="6">
        <v>13</v>
      </c>
      <c r="B14" s="181" t="s">
        <v>120</v>
      </c>
      <c r="C14" s="189" t="s">
        <v>106</v>
      </c>
      <c r="D14" s="185" t="s">
        <v>130</v>
      </c>
      <c r="E14" s="185" t="s">
        <v>129</v>
      </c>
      <c r="F14" s="186" t="s">
        <v>149</v>
      </c>
      <c r="G14" s="6"/>
      <c r="H14" s="6" t="s">
        <v>49</v>
      </c>
      <c r="I14" s="6"/>
      <c r="J14" s="5">
        <v>14</v>
      </c>
      <c r="K14" s="36"/>
      <c r="M14" s="50"/>
    </row>
    <row r="15" spans="1:13" x14ac:dyDescent="0.3">
      <c r="A15" s="6">
        <v>14</v>
      </c>
      <c r="B15" s="181" t="s">
        <v>121</v>
      </c>
      <c r="C15" s="189" t="s">
        <v>106</v>
      </c>
      <c r="D15" s="185" t="s">
        <v>128</v>
      </c>
      <c r="E15" s="185" t="s">
        <v>136</v>
      </c>
      <c r="F15" s="186" t="s">
        <v>150</v>
      </c>
      <c r="G15" s="6"/>
      <c r="H15" s="6" t="s">
        <v>105</v>
      </c>
      <c r="I15" s="6"/>
      <c r="J15" s="5">
        <v>15</v>
      </c>
      <c r="K15" s="36"/>
      <c r="M15" s="50"/>
    </row>
    <row r="16" spans="1:13" ht="15.75" thickBot="1" x14ac:dyDescent="0.35">
      <c r="A16" s="6">
        <v>15</v>
      </c>
      <c r="B16" s="181" t="s">
        <v>122</v>
      </c>
      <c r="C16" s="189" t="s">
        <v>106</v>
      </c>
      <c r="D16" s="185" t="s">
        <v>138</v>
      </c>
      <c r="E16" s="185" t="s">
        <v>139</v>
      </c>
      <c r="F16" s="186" t="s">
        <v>151</v>
      </c>
      <c r="G16" s="6"/>
      <c r="H16" s="6" t="s">
        <v>105</v>
      </c>
      <c r="I16" s="6"/>
      <c r="J16" s="5">
        <v>16</v>
      </c>
      <c r="K16" s="36"/>
      <c r="M16" s="50"/>
    </row>
    <row r="17" spans="1:13" x14ac:dyDescent="0.3">
      <c r="A17" s="6">
        <v>16</v>
      </c>
      <c r="B17" s="9" t="s">
        <v>123</v>
      </c>
      <c r="C17" s="6" t="s">
        <v>106</v>
      </c>
      <c r="D17" s="185" t="s">
        <v>131</v>
      </c>
      <c r="E17" s="185" t="s">
        <v>135</v>
      </c>
      <c r="F17" s="6" t="s">
        <v>152</v>
      </c>
      <c r="G17" s="6"/>
      <c r="H17" s="6" t="s">
        <v>105</v>
      </c>
      <c r="I17" s="6"/>
      <c r="J17" s="4"/>
      <c r="K17" s="36"/>
      <c r="M17" s="201" t="s">
        <v>69</v>
      </c>
    </row>
    <row r="18" spans="1:13" x14ac:dyDescent="0.3">
      <c r="J18" s="4"/>
      <c r="K18" s="36"/>
      <c r="M18" s="202"/>
    </row>
    <row r="19" spans="1:13" ht="15.75" thickBot="1" x14ac:dyDescent="0.35">
      <c r="J19" s="4"/>
      <c r="K19" s="36"/>
      <c r="M19" s="203"/>
    </row>
    <row r="20" spans="1:13" x14ac:dyDescent="0.3">
      <c r="J20" s="4"/>
      <c r="K20" s="36"/>
      <c r="M20" s="50"/>
    </row>
    <row r="21" spans="1:13" x14ac:dyDescent="0.3">
      <c r="J21" s="4"/>
      <c r="K21" s="36"/>
      <c r="M21" s="50"/>
    </row>
    <row r="22" spans="1:13" x14ac:dyDescent="0.3">
      <c r="J22" s="4"/>
      <c r="K22" s="36"/>
      <c r="M22" s="50"/>
    </row>
    <row r="23" spans="1:13" x14ac:dyDescent="0.3">
      <c r="J23" s="4"/>
      <c r="K23" s="36"/>
      <c r="M23" s="50"/>
    </row>
    <row r="24" spans="1:13" x14ac:dyDescent="0.3">
      <c r="J24" s="4"/>
      <c r="K24" s="36"/>
      <c r="M24" s="50"/>
    </row>
    <row r="25" spans="1:13" ht="15.75" thickBot="1" x14ac:dyDescent="0.35">
      <c r="J25" s="4"/>
      <c r="K25" s="36"/>
      <c r="M25" s="50"/>
    </row>
    <row r="26" spans="1:13" x14ac:dyDescent="0.3">
      <c r="J26" s="4"/>
      <c r="K26" s="36"/>
      <c r="M26" s="199">
        <v>3</v>
      </c>
    </row>
    <row r="27" spans="1:13" ht="15.75" thickBot="1" x14ac:dyDescent="0.35">
      <c r="J27" s="4"/>
      <c r="K27" s="36"/>
      <c r="M27" s="200"/>
    </row>
    <row r="28" spans="1:13" x14ac:dyDescent="0.3">
      <c r="J28" s="4"/>
      <c r="K28" s="36"/>
      <c r="M28" s="50"/>
    </row>
    <row r="29" spans="1:13" x14ac:dyDescent="0.3">
      <c r="J29" s="4"/>
      <c r="K29" s="36"/>
      <c r="M29" s="50"/>
    </row>
    <row r="30" spans="1:13" x14ac:dyDescent="0.3">
      <c r="J30" s="4"/>
      <c r="K30" s="36"/>
      <c r="M30" s="50"/>
    </row>
    <row r="31" spans="1:13" x14ac:dyDescent="0.3">
      <c r="J31" s="4"/>
      <c r="K31" s="36"/>
      <c r="M31" s="50"/>
    </row>
    <row r="32" spans="1:13" x14ac:dyDescent="0.3">
      <c r="J32" s="4"/>
      <c r="K32" s="36"/>
      <c r="M32" s="50"/>
    </row>
    <row r="33" spans="3:13" x14ac:dyDescent="0.3">
      <c r="J33" s="4"/>
      <c r="K33" s="37"/>
      <c r="M33" s="50"/>
    </row>
    <row r="34" spans="3:13" x14ac:dyDescent="0.3">
      <c r="J34" s="4"/>
      <c r="K34" s="37"/>
    </row>
    <row r="35" spans="3:13" x14ac:dyDescent="0.3">
      <c r="C35" s="7" t="str">
        <f>IF(B19="","",VLOOKUP(B19,#REF!,3,FALSE))</f>
        <v/>
      </c>
    </row>
    <row r="36" spans="3:13" x14ac:dyDescent="0.3">
      <c r="C36" s="7" t="str">
        <f>IF(B20="","",VLOOKUP(B20,#REF!,3,FALSE))</f>
        <v/>
      </c>
    </row>
    <row r="37" spans="3:13" x14ac:dyDescent="0.3">
      <c r="C37" s="7" t="str">
        <f>IF(B21="","",VLOOKUP(B21,#REF!,3,FALSE))</f>
        <v/>
      </c>
    </row>
    <row r="38" spans="3:13" x14ac:dyDescent="0.3">
      <c r="C38" s="7" t="str">
        <f>IF(B22="","",VLOOKUP(B22,#REF!,3,FALSE))</f>
        <v/>
      </c>
    </row>
    <row r="39" spans="3:13" x14ac:dyDescent="0.3">
      <c r="C39" s="7" t="str">
        <f>IF(B23="","",VLOOKUP(B23,#REF!,3,FALSE))</f>
        <v/>
      </c>
    </row>
    <row r="40" spans="3:13" x14ac:dyDescent="0.3">
      <c r="C40" s="7" t="str">
        <f>IF(B24="","",VLOOKUP(B24,#REF!,3,FALSE))</f>
        <v/>
      </c>
    </row>
    <row r="41" spans="3:13" x14ac:dyDescent="0.3">
      <c r="C41" s="7" t="str">
        <f>IF(B25="","",VLOOKUP(B25,#REF!,3,FALSE))</f>
        <v/>
      </c>
    </row>
    <row r="42" spans="3:13" x14ac:dyDescent="0.3">
      <c r="C42" s="7" t="str">
        <f>IF(B26="","",VLOOKUP(B26,#REF!,3,FALSE))</f>
        <v/>
      </c>
    </row>
  </sheetData>
  <mergeCells count="4">
    <mergeCell ref="M1:M2"/>
    <mergeCell ref="M9:M10"/>
    <mergeCell ref="M17:M19"/>
    <mergeCell ref="M26:M27"/>
  </mergeCells>
  <phoneticPr fontId="0" type="noConversion"/>
  <conditionalFormatting sqref="B2:B16">
    <cfRule type="expression" dxfId="167" priority="16" stopIfTrue="1">
      <formula>$C2="R1"</formula>
    </cfRule>
    <cfRule type="expression" dxfId="166" priority="17" stopIfTrue="1">
      <formula>OR(($C2="R2"),($C2="R2A"),($C2="R2B"),($C2="R2C"),($C2="R2D"))</formula>
    </cfRule>
    <cfRule type="expression" dxfId="165" priority="18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6">
    <cfRule type="expression" dxfId="164" priority="13" stopIfTrue="1">
      <formula>$C2="R1"</formula>
    </cfRule>
    <cfRule type="expression" dxfId="163" priority="14" stopIfTrue="1">
      <formula>OR(($C2="R2"),($C2="R2A"),($C2="R2B"),($C2="R2C"),($C2="R2D"))</formula>
    </cfRule>
    <cfRule type="expression" dxfId="162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2:F15">
    <cfRule type="expression" dxfId="161" priority="10" stopIfTrue="1">
      <formula>$C2="R1"</formula>
    </cfRule>
    <cfRule type="expression" dxfId="160" priority="11" stopIfTrue="1">
      <formula>OR(($C2="R2"),($C2="R2A"),($C2="R2B"),($C2="R2C"),($C2="R2D"))</formula>
    </cfRule>
    <cfRule type="expression" dxfId="159" priority="12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2:F16">
    <cfRule type="expression" dxfId="158" priority="7" stopIfTrue="1">
      <formula>$C2="R1"</formula>
    </cfRule>
    <cfRule type="expression" dxfId="157" priority="8" stopIfTrue="1">
      <formula>OR(($C2="R2"),($C2="R2A"),($C2="R2B"),($C2="R2C"),($C2="R2D"))</formula>
    </cfRule>
    <cfRule type="expression" dxfId="156" priority="9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17:E17">
    <cfRule type="expression" dxfId="155" priority="4" stopIfTrue="1">
      <formula>$C17="R1"</formula>
    </cfRule>
    <cfRule type="expression" dxfId="154" priority="5" stopIfTrue="1">
      <formula>OR(($C17="R2"),($C17="R2A"),($C17="R2B"),($C17="R2C"),($C17="R2D"))</formula>
    </cfRule>
    <cfRule type="expression" dxfId="153" priority="6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D17:E17">
    <cfRule type="expression" dxfId="152" priority="1" stopIfTrue="1">
      <formula>$C17="R1"</formula>
    </cfRule>
    <cfRule type="expression" dxfId="151" priority="2" stopIfTrue="1">
      <formula>OR(($C17="R2"),($C17="R2A"),($C17="R2B"),($C17="R2C"),($C17="R2D"))</formula>
    </cfRule>
    <cfRule type="expression" dxfId="150" priority="3" stopIfTrue="1">
      <formula>OR(($C17="R3"),($C17="R3A"),($C17="R3B"),($C17="R3C"),($C17="R3D"),($C17="R3A1"),($C17="R3B1"),($C17="R3C1"),($C17="R3D1"),($C17="R3A2"),($C17="R3B2"),($C17="R3C2"),($C17="R3D2"))</formula>
    </cfRule>
  </conditionalFormatting>
  <dataValidations count="3">
    <dataValidation type="list" allowBlank="1" showInputMessage="1" showErrorMessage="1" sqref="A2:A17">
      <formula1>$J$1:$J$16</formula1>
    </dataValidation>
    <dataValidation type="list" showInputMessage="1" showErrorMessage="1" sqref="H2:H17">
      <formula1>Liste_Forfait</formula1>
    </dataValidation>
    <dataValidation allowBlank="1" showInputMessage="1" showErrorMessage="1" sqref="B2:F16 D17:E17"/>
  </dataValidations>
  <printOptions horizontalCentered="1" verticalCentered="1"/>
  <pageMargins left="0.67244094488188999" right="0.28740157480314998" top="1.08110236220472" bottom="0.88740157480314996" header="0.31496062992126" footer="0.31496062992126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12</xdr:col>
                    <xdr:colOff>161925</xdr:colOff>
                    <xdr:row>10</xdr:row>
                    <xdr:rowOff>180975</xdr:rowOff>
                  </from>
                  <to>
                    <xdr:col>12</xdr:col>
                    <xdr:colOff>1590675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12</xdr:col>
                    <xdr:colOff>180975</xdr:colOff>
                    <xdr:row>19</xdr:row>
                    <xdr:rowOff>180975</xdr:rowOff>
                  </from>
                  <to>
                    <xdr:col>12</xdr:col>
                    <xdr:colOff>1609725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12</xdr:col>
                    <xdr:colOff>161925</xdr:colOff>
                    <xdr:row>28</xdr:row>
                    <xdr:rowOff>28575</xdr:rowOff>
                  </from>
                  <to>
                    <xdr:col>12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12</xdr:col>
                    <xdr:colOff>152400</xdr:colOff>
                    <xdr:row>3</xdr:row>
                    <xdr:rowOff>9525</xdr:rowOff>
                  </from>
                  <to>
                    <xdr:col>12</xdr:col>
                    <xdr:colOff>1581150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topLeftCell="A4" zoomScale="75" workbookViewId="0">
      <selection activeCell="W16" sqref="W16"/>
    </sheetView>
  </sheetViews>
  <sheetFormatPr baseColWidth="10" defaultRowHeight="14.1" customHeight="1" x14ac:dyDescent="0.2"/>
  <cols>
    <col min="1" max="1" width="10.7109375" style="80" customWidth="1"/>
    <col min="2" max="2" width="18.7109375" style="80" customWidth="1"/>
    <col min="3" max="3" width="5.28515625" style="80" bestFit="1" customWidth="1"/>
    <col min="4" max="4" width="3.42578125" style="80" bestFit="1" customWidth="1"/>
    <col min="5" max="5" width="3" style="139" customWidth="1"/>
    <col min="6" max="6" width="18.7109375" style="140" customWidth="1"/>
    <col min="7" max="7" width="4.7109375" style="140" customWidth="1"/>
    <col min="8" max="8" width="3.42578125" style="140" customWidth="1"/>
    <col min="9" max="9" width="3" style="139" customWidth="1"/>
    <col min="10" max="10" width="18.7109375" style="140" customWidth="1"/>
    <col min="11" max="11" width="4.7109375" style="140" customWidth="1"/>
    <col min="12" max="12" width="4.140625" style="141" customWidth="1"/>
    <col min="13" max="13" width="18.7109375" style="140" customWidth="1"/>
    <col min="14" max="14" width="4.7109375" style="140" customWidth="1"/>
    <col min="15" max="15" width="3" style="139" customWidth="1"/>
    <col min="16" max="16" width="3.42578125" style="140" customWidth="1"/>
    <col min="17" max="17" width="18.7109375" style="140" customWidth="1"/>
    <col min="18" max="18" width="4.7109375" style="140" customWidth="1"/>
    <col min="19" max="19" width="3" style="139" customWidth="1"/>
    <col min="20" max="20" width="3.42578125" style="80" customWidth="1"/>
    <col min="21" max="21" width="18.7109375" style="80" customWidth="1"/>
    <col min="22" max="22" width="5.42578125" style="80" bestFit="1" customWidth="1"/>
    <col min="23" max="23" width="7.42578125" style="80" customWidth="1"/>
    <col min="24" max="24" width="4.7109375" style="80" customWidth="1"/>
    <col min="25" max="25" width="2.28515625" style="80" hidden="1" customWidth="1"/>
    <col min="26" max="26" width="18.7109375" style="80" hidden="1" customWidth="1"/>
    <col min="27" max="27" width="3.42578125" style="80" hidden="1" customWidth="1"/>
    <col min="28" max="28" width="18.7109375" style="81" hidden="1" customWidth="1"/>
    <col min="29" max="29" width="3" style="80" hidden="1" customWidth="1"/>
    <col min="30" max="30" width="2.85546875" style="80" hidden="1" customWidth="1"/>
    <col min="31" max="31" width="3" style="80" hidden="1" customWidth="1"/>
    <col min="32" max="32" width="2.85546875" style="80" hidden="1" customWidth="1"/>
    <col min="33" max="33" width="3" style="80" hidden="1" customWidth="1"/>
    <col min="34" max="34" width="2.85546875" style="80" hidden="1" customWidth="1"/>
    <col min="35" max="35" width="3" style="80" hidden="1" customWidth="1"/>
    <col min="36" max="36" width="2.85546875" style="80" hidden="1" customWidth="1"/>
    <col min="37" max="37" width="3" style="80" hidden="1" customWidth="1"/>
    <col min="38" max="38" width="2.85546875" style="80" hidden="1" customWidth="1"/>
    <col min="39" max="39" width="3" style="80" hidden="1" customWidth="1"/>
    <col min="40" max="40" width="2.85546875" style="80" hidden="1" customWidth="1"/>
    <col min="41" max="41" width="4.7109375" style="80" hidden="1" customWidth="1"/>
    <col min="42" max="42" width="3.42578125" style="80" hidden="1" customWidth="1"/>
    <col min="43" max="43" width="3.42578125" style="80" bestFit="1" customWidth="1"/>
    <col min="44" max="44" width="18.7109375" style="80" customWidth="1"/>
    <col min="45" max="45" width="4.7109375" style="80" customWidth="1"/>
    <col min="46" max="46" width="3.42578125" style="80" bestFit="1" customWidth="1"/>
    <col min="47" max="16384" width="11.42578125" style="80"/>
  </cols>
  <sheetData>
    <row r="1" spans="1:46" ht="30" customHeight="1" thickTop="1" thickBot="1" x14ac:dyDescent="0.25">
      <c r="A1" s="75"/>
      <c r="B1" s="76"/>
      <c r="C1" s="76"/>
      <c r="D1" s="76"/>
      <c r="E1" s="77"/>
      <c r="F1" s="78"/>
      <c r="G1" s="78"/>
      <c r="H1" s="78"/>
      <c r="I1" s="77"/>
      <c r="J1" s="207" t="s">
        <v>73</v>
      </c>
      <c r="K1" s="207"/>
      <c r="L1" s="207"/>
      <c r="M1" s="207"/>
      <c r="N1" s="207"/>
      <c r="O1" s="207"/>
      <c r="P1" s="207"/>
      <c r="Q1" s="207"/>
      <c r="R1" s="207"/>
      <c r="S1" s="77"/>
      <c r="T1" s="76"/>
      <c r="U1" s="76"/>
      <c r="V1" s="76"/>
      <c r="W1" s="79"/>
    </row>
    <row r="2" spans="1:46" ht="30" customHeight="1" x14ac:dyDescent="0.2">
      <c r="A2" s="82"/>
      <c r="E2" s="83"/>
      <c r="F2" s="84"/>
      <c r="G2" s="84"/>
      <c r="H2" s="84"/>
      <c r="I2" s="83"/>
      <c r="J2" s="85"/>
      <c r="K2" s="85"/>
      <c r="L2" s="85"/>
      <c r="M2" s="85"/>
      <c r="N2" s="85"/>
      <c r="O2" s="85"/>
      <c r="P2" s="85"/>
      <c r="Q2" s="85"/>
      <c r="R2" s="85"/>
      <c r="S2" s="83"/>
      <c r="T2" s="86"/>
      <c r="U2" s="86"/>
      <c r="V2" s="86"/>
      <c r="W2" s="87"/>
      <c r="AQ2" s="208" t="s">
        <v>37</v>
      </c>
      <c r="AR2" s="209"/>
      <c r="AS2" s="209"/>
      <c r="AT2" s="210"/>
    </row>
    <row r="3" spans="1:46" ht="30" customHeight="1" thickBot="1" x14ac:dyDescent="0.25">
      <c r="A3" s="82"/>
      <c r="E3" s="83"/>
      <c r="F3" s="84"/>
      <c r="G3" s="84"/>
      <c r="H3" s="84"/>
      <c r="I3" s="83"/>
      <c r="J3" s="88"/>
      <c r="K3" s="84" t="s">
        <v>0</v>
      </c>
      <c r="L3" s="89">
        <v>1</v>
      </c>
      <c r="M3" s="68" t="str">
        <f>IF(IF(ISNA(VLOOKUP(L3,Inscrits!$A$2:$C$33,2,FALSE)),"",VLOOKUP(L3,Inscrits!$A$2:$C$33,2,FALSE))=0,"",IF(ISNA(VLOOKUP(L3,Inscrits!$A$2:$C$33,2,FALSE)),"",VLOOKUP(L3,Inscrits!$A$2:$C$33,2,FALSE)))</f>
        <v>SAVONET Valérie</v>
      </c>
      <c r="N3" s="69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90"/>
      <c r="P3" s="91"/>
      <c r="Q3" s="92" t="s">
        <v>1</v>
      </c>
      <c r="R3" s="84"/>
      <c r="S3" s="83"/>
      <c r="T3" s="86"/>
      <c r="U3" s="86"/>
      <c r="V3" s="86"/>
      <c r="W3" s="87"/>
      <c r="AC3" s="93" t="s">
        <v>2</v>
      </c>
      <c r="AD3" s="93" t="s">
        <v>3</v>
      </c>
      <c r="AE3" s="93" t="s">
        <v>2</v>
      </c>
      <c r="AF3" s="93" t="s">
        <v>3</v>
      </c>
      <c r="AG3" s="93" t="s">
        <v>2</v>
      </c>
      <c r="AH3" s="93" t="s">
        <v>3</v>
      </c>
      <c r="AI3" s="93" t="s">
        <v>2</v>
      </c>
      <c r="AJ3" s="93" t="s">
        <v>3</v>
      </c>
      <c r="AK3" s="93" t="s">
        <v>2</v>
      </c>
      <c r="AL3" s="93" t="s">
        <v>3</v>
      </c>
      <c r="AM3" s="93" t="s">
        <v>2</v>
      </c>
      <c r="AN3" s="93" t="s">
        <v>3</v>
      </c>
      <c r="AO3" s="93" t="s">
        <v>4</v>
      </c>
      <c r="AQ3" s="94"/>
      <c r="AR3" s="95" t="s">
        <v>5</v>
      </c>
      <c r="AS3" s="96" t="s">
        <v>4</v>
      </c>
      <c r="AT3" s="97"/>
    </row>
    <row r="4" spans="1:46" ht="30" customHeight="1" thickTop="1" x14ac:dyDescent="0.2">
      <c r="A4" s="82"/>
      <c r="E4" s="83"/>
      <c r="F4" s="84"/>
      <c r="G4" s="84"/>
      <c r="H4" s="98"/>
      <c r="I4" s="99"/>
      <c r="J4" s="68" t="str">
        <f>IF(OR(AND(O3="F",O5="F"),AND(O3="A",O5="A")),M5,IF(OR(O3="F",O3="A"),M3,IF(OR(O5="F",O5="A"),M5,IF(O3=O5,"",(IF(O3&lt;O5,M3,M5))))))</f>
        <v/>
      </c>
      <c r="K4" s="69" t="str">
        <f>IF(OR(AND(O3="F",O5="F"),AND(O3="A",O5="A")),N5,IF(OR(O3="F",O3="A"),N3,IF(OR(O5="F",O5="A"),N5,IF(O3=O5,"",(IF(O3&lt;O5,N3,N5))))))</f>
        <v/>
      </c>
      <c r="L4" s="89"/>
      <c r="M4" s="100" t="s">
        <v>95</v>
      </c>
      <c r="N4" s="101"/>
      <c r="O4" s="102"/>
      <c r="P4" s="103"/>
      <c r="Q4" s="68" t="str">
        <f>IF(OR(AND(O3="F",O5="F"),AND(O3="A",O5="A")),M3,IF(OR(O3="F",O3="A"),M5,IF(OR(O5="F",O5="A"),M3,IF(O3=O5,"",(IF(O3&gt;O5,M3,M5))))))</f>
        <v/>
      </c>
      <c r="R4" s="69" t="str">
        <f>IF(OR(AND(O3="F",O5="F"),AND(O3="A",O5="A")),N3,IF(OR(O3="F",O3="A"),N5,IF(OR(O5="F",O5="A"),N3,IF(O3=O5,"",(IF(O3&gt;O5,N3,N5))))))</f>
        <v/>
      </c>
      <c r="S4" s="104"/>
      <c r="T4" s="105"/>
      <c r="U4" s="86"/>
      <c r="V4" s="86"/>
      <c r="W4" s="87"/>
      <c r="Y4" s="80">
        <v>1</v>
      </c>
      <c r="Z4" s="106" t="str">
        <f>IF(U6="","",IF(U6=Q4,Q4,Q8))</f>
        <v/>
      </c>
      <c r="AB4" s="107" t="str">
        <f>M3</f>
        <v>SAVONET Valérie</v>
      </c>
      <c r="AC4" s="108">
        <f>IF(AB4=M3,IF(O5="F","",O3),0)</f>
        <v>0</v>
      </c>
      <c r="AD4" s="108">
        <f>IF(AB4=M3,IF(O3="F","",O5),0)</f>
        <v>0</v>
      </c>
      <c r="AE4" s="109">
        <f>IF(AB4=Q4,IF(S8="F","",S4),0)</f>
        <v>0</v>
      </c>
      <c r="AF4" s="109">
        <f>IF(AB4=Q4,IF(S4="F","",S8),0)</f>
        <v>0</v>
      </c>
      <c r="AG4" s="108">
        <f>IF(AB4=J4,IF(I8="F","",I4),0)</f>
        <v>0</v>
      </c>
      <c r="AH4" s="108">
        <f>IF(AB4=J4,IF(I4="F","",I8),0)</f>
        <v>0</v>
      </c>
      <c r="AI4" s="109">
        <f>IF(AB4=F6,IF(E10="F","",E6),0)</f>
        <v>0</v>
      </c>
      <c r="AJ4" s="109">
        <f>IF(AB4=F6,IF(E6="F","",E10),0)</f>
        <v>0</v>
      </c>
      <c r="AK4" s="108">
        <f>IF(AB4=F20,IF(E16="F","",E20),0)</f>
        <v>0</v>
      </c>
      <c r="AL4" s="108">
        <f>IF(AB4=F20,IF(E20="F","",E16),0)</f>
        <v>0</v>
      </c>
      <c r="AM4" s="110">
        <f t="shared" ref="AM4:AN7" si="0">SUM(AC4,AE4,AG4,AI4,AK4)</f>
        <v>0</v>
      </c>
      <c r="AN4" s="110">
        <f t="shared" si="0"/>
        <v>0</v>
      </c>
      <c r="AO4" s="106">
        <f>AM4-AN4</f>
        <v>0</v>
      </c>
      <c r="AQ4" s="94"/>
      <c r="AR4" s="111" t="str">
        <f>Z4</f>
        <v/>
      </c>
      <c r="AS4" s="112" t="str">
        <f>IF(AR4="","",(VLOOKUP(AR4,AB4:AO17,14,FALSE)))</f>
        <v/>
      </c>
      <c r="AT4" s="97"/>
    </row>
    <row r="5" spans="1:46" ht="30" customHeight="1" thickBot="1" x14ac:dyDescent="0.25">
      <c r="A5" s="82"/>
      <c r="B5" s="86"/>
      <c r="C5" s="86"/>
      <c r="D5" s="86"/>
      <c r="E5" s="83"/>
      <c r="F5" s="88"/>
      <c r="G5" s="84" t="s">
        <v>31</v>
      </c>
      <c r="H5" s="84"/>
      <c r="I5" s="113"/>
      <c r="J5" s="84"/>
      <c r="K5" s="84"/>
      <c r="L5" s="89">
        <v>16</v>
      </c>
      <c r="M5" s="68" t="str">
        <f>IF(IF(ISNA(VLOOKUP(L5,Inscrits!$A$2:$C$33,2,FALSE)),"",VLOOKUP(L5,Inscrits!$A$2:$C$33,2,FALSE))=0,"",IF(ISNA(VLOOKUP(L5,Inscrits!$A$2:$C$33,2,FALSE)),"",VLOOKUP(L5,Inscrits!$A$2:$C$33,2,FALSE)))</f>
        <v>MARINEAU Delphine</v>
      </c>
      <c r="N5" s="69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0"/>
      <c r="P5" s="91"/>
      <c r="Q5" s="84"/>
      <c r="R5" s="84"/>
      <c r="S5" s="83"/>
      <c r="T5" s="114"/>
      <c r="U5" s="115" t="s">
        <v>8</v>
      </c>
      <c r="V5" s="86"/>
      <c r="W5" s="87"/>
      <c r="Y5" s="80">
        <v>3</v>
      </c>
      <c r="Z5" s="106" t="str">
        <f>IF(B8="","",IF(B8=F6,F6,F10))</f>
        <v/>
      </c>
      <c r="AB5" s="107" t="str">
        <f>M5</f>
        <v>MARINEAU Delphine</v>
      </c>
      <c r="AC5" s="108">
        <f>IF(AB5=M5,IF(O3="F","",O5),0)</f>
        <v>0</v>
      </c>
      <c r="AD5" s="108">
        <f>IF(AB5=M5,IF(O5="F","",O3),0)</f>
        <v>0</v>
      </c>
      <c r="AE5" s="109">
        <f>IF(AB5=Q4,IF(S8="F","",S4),0)</f>
        <v>0</v>
      </c>
      <c r="AF5" s="109">
        <f>IF(AB5=Q4,IF(S4="F","",S8),0)</f>
        <v>0</v>
      </c>
      <c r="AG5" s="108">
        <f>IF(AB5=J4,IF(I8="F","",I4),0)</f>
        <v>0</v>
      </c>
      <c r="AH5" s="108">
        <f>IF(AB5=J4,IF(I4="F","",I8),0)</f>
        <v>0</v>
      </c>
      <c r="AI5" s="109">
        <f>IF(AB5=F6,IF(E10="F","",E6),0)</f>
        <v>0</v>
      </c>
      <c r="AJ5" s="109">
        <f>IF(AB5=F6,IF(E6="F","",E10),0)</f>
        <v>0</v>
      </c>
      <c r="AK5" s="108">
        <f>IF(AB5=F20,IF(E16="F","",E20),0)</f>
        <v>0</v>
      </c>
      <c r="AL5" s="108">
        <f>IF(AB5=F20,IF(E20="F","",E16),0)</f>
        <v>0</v>
      </c>
      <c r="AM5" s="110">
        <f t="shared" si="0"/>
        <v>0</v>
      </c>
      <c r="AN5" s="110">
        <f t="shared" si="0"/>
        <v>0</v>
      </c>
      <c r="AO5" s="106">
        <f>AM5-AN5</f>
        <v>0</v>
      </c>
      <c r="AQ5" s="94"/>
      <c r="AR5" s="116" t="str">
        <f>Z14</f>
        <v/>
      </c>
      <c r="AS5" s="117" t="str">
        <f>IF(AR5="","",(VLOOKUP(AR5,AB4:AO17,14,FALSE)))</f>
        <v/>
      </c>
      <c r="AT5" s="97"/>
    </row>
    <row r="6" spans="1:46" ht="30" customHeight="1" thickBot="1" x14ac:dyDescent="0.25">
      <c r="A6" s="82"/>
      <c r="B6" s="86"/>
      <c r="C6" s="86"/>
      <c r="D6" s="118"/>
      <c r="E6" s="99"/>
      <c r="F6" s="68" t="str">
        <f>IF(OR(I4="F",I4="A"),J8,IF(OR(I8="F",I8="A"),J4,IF(I4=I8,"",(IF(I4&gt;I8,J4,J8)))))</f>
        <v/>
      </c>
      <c r="G6" s="69" t="str">
        <f>IF(OR(I4="F",I4="A"),K8,IF(OR(I8="F",I8="A"),K4,IF(I4=I8,"",(IF(I4&gt;I8,K4,K8)))))</f>
        <v/>
      </c>
      <c r="H6" s="84"/>
      <c r="I6" s="113"/>
      <c r="J6" s="100" t="s">
        <v>101</v>
      </c>
      <c r="K6" s="101"/>
      <c r="L6" s="89"/>
      <c r="M6" s="84"/>
      <c r="N6" s="84"/>
      <c r="O6" s="83"/>
      <c r="P6" s="84"/>
      <c r="Q6" s="100" t="s">
        <v>99</v>
      </c>
      <c r="R6" s="101"/>
      <c r="S6" s="83"/>
      <c r="T6" s="119"/>
      <c r="U6" s="68" t="str">
        <f>IF(OR(S4="F",S4="A"),Q8,IF(OR(S8="F",S8="A"),Q4,IF(S4=S8,"",(IF(S4&gt;S8,Q4,Q8)))))</f>
        <v/>
      </c>
      <c r="V6" s="219" t="str">
        <f>IF(OR(S4="F",S4="A"),R8,IF(OR(S8="F",S8="A"),R4,IF(S4=S8,"",(IF(S4&gt;S8,R4,R8)))))</f>
        <v/>
      </c>
      <c r="W6" s="220" t="s">
        <v>55</v>
      </c>
      <c r="Y6" s="80">
        <v>5</v>
      </c>
      <c r="Z6" s="106" t="str">
        <f>IF(B8="","",IF(B8=F6,F10,F6))</f>
        <v/>
      </c>
      <c r="AB6" s="107" t="str">
        <f>M7</f>
        <v>REDON Valérie</v>
      </c>
      <c r="AC6" s="108">
        <f>IF(AB6=M7,IF(O9="F","",O7),0)</f>
        <v>0</v>
      </c>
      <c r="AD6" s="108">
        <f>IF(AB6=M7,IF(O7="F","",O9),0)</f>
        <v>0</v>
      </c>
      <c r="AE6" s="109">
        <f>IF(AB6=Q8,IF(S4="F","",S8),0)</f>
        <v>0</v>
      </c>
      <c r="AF6" s="109">
        <f>IF(AB6=Q8,IF(S8="F","",S4),0)</f>
        <v>0</v>
      </c>
      <c r="AG6" s="108">
        <f>IF(AB6=J8,IF(I4="F","",I8),0)</f>
        <v>0</v>
      </c>
      <c r="AH6" s="108">
        <f>IF(AB6=J8,IF(I8="F","",I4),0)</f>
        <v>0</v>
      </c>
      <c r="AI6" s="109">
        <f>IF(AB6=F6,IF(E10="F","",E6),0)</f>
        <v>0</v>
      </c>
      <c r="AJ6" s="109">
        <f>IF(AB6=F6,IF(E6="F","",E10),0)</f>
        <v>0</v>
      </c>
      <c r="AK6" s="108">
        <f>IF(AB6=F20,IF(E16="F","",E20),0)</f>
        <v>0</v>
      </c>
      <c r="AL6" s="108">
        <f>IF(AB6=F20,IF(E20="F","",E16),0)</f>
        <v>0</v>
      </c>
      <c r="AM6" s="110">
        <f t="shared" si="0"/>
        <v>0</v>
      </c>
      <c r="AN6" s="110">
        <f t="shared" si="0"/>
        <v>0</v>
      </c>
      <c r="AO6" s="106">
        <f>AM6-AN6</f>
        <v>0</v>
      </c>
      <c r="AQ6" s="94"/>
      <c r="AR6" s="116" t="str">
        <f>Z5</f>
        <v/>
      </c>
      <c r="AS6" s="117" t="str">
        <f>IF(AR6="","",(VLOOKUP(AR6,AB4:AO17,14,FALSE)))</f>
        <v/>
      </c>
      <c r="AT6" s="97"/>
    </row>
    <row r="7" spans="1:46" ht="30" customHeight="1" thickBot="1" x14ac:dyDescent="0.25">
      <c r="A7" s="82"/>
      <c r="B7" s="120"/>
      <c r="C7" s="86" t="s">
        <v>35</v>
      </c>
      <c r="D7" s="86"/>
      <c r="E7" s="113"/>
      <c r="F7" s="84"/>
      <c r="G7" s="84"/>
      <c r="H7" s="84"/>
      <c r="I7" s="113"/>
      <c r="J7" s="84"/>
      <c r="K7" s="84"/>
      <c r="L7" s="89">
        <v>9</v>
      </c>
      <c r="M7" s="68" t="str">
        <f>IF(IF(ISNA(VLOOKUP(L7,Inscrits!$A$2:$C$33,2,FALSE)),"",VLOOKUP(L7,Inscrits!$A$2:$C$33,2,FALSE))=0,"",IF(ISNA(VLOOKUP(L7,Inscrits!$A$2:$C$33,2,FALSE)),"",VLOOKUP(L7,Inscrits!$A$2:$C$33,2,FALSE)))</f>
        <v>REDON Valérie</v>
      </c>
      <c r="N7" s="69" t="str">
        <f>IF(IF(ISNA(VLOOKUP(L7,Inscrits!$A$2:$C$33,3,FALSE)),"","("&amp;(VLOOKUP(L7,Inscrits!$A$2:$C$33,3,FALSE))&amp;")")="()","",IF(ISNA(VLOOKUP(L7,Inscrits!$A$2:$C$33,3,FALSE)),"","("&amp;(VLOOKUP(L7,Inscrits!$A$2:$C$33,3,FALSE))&amp;")"))</f>
        <v>(14)</v>
      </c>
      <c r="O7" s="90"/>
      <c r="P7" s="91"/>
      <c r="Q7" s="84"/>
      <c r="R7" s="84"/>
      <c r="S7" s="83"/>
      <c r="T7" s="114"/>
      <c r="U7" s="86"/>
      <c r="V7" s="86"/>
      <c r="W7" s="87"/>
      <c r="Y7" s="80">
        <v>7</v>
      </c>
      <c r="Z7" s="106" t="str">
        <f>IF(F6="","",IF(F6=J4,J8,J4))</f>
        <v/>
      </c>
      <c r="AB7" s="107" t="str">
        <f>M9</f>
        <v>STEENHAUT Clémentine</v>
      </c>
      <c r="AC7" s="108">
        <f>IF(AB7=M9,IF(O7="F","",O9),0)</f>
        <v>0</v>
      </c>
      <c r="AD7" s="108">
        <f>IF(AB7=M9,IF(O9="F","",O7),0)</f>
        <v>0</v>
      </c>
      <c r="AE7" s="109">
        <f>IF(AB7=Q8,IF(S4="F","",S8),0)</f>
        <v>0</v>
      </c>
      <c r="AF7" s="109">
        <f>IF(AB7=Q8,IF(S8="F","",S4),0)</f>
        <v>0</v>
      </c>
      <c r="AG7" s="108">
        <f>IF(AB7=J8,IF(I4="F","",I8),0)</f>
        <v>0</v>
      </c>
      <c r="AH7" s="108">
        <f>IF(AB7=J8,IF(I8="F","",I4),0)</f>
        <v>0</v>
      </c>
      <c r="AI7" s="109">
        <f>IF(AB7=F6,IF(E10="F","",E6),0)</f>
        <v>0</v>
      </c>
      <c r="AJ7" s="109">
        <f>IF(AB7=F6,IF(E6="F","",E10),0)</f>
        <v>0</v>
      </c>
      <c r="AK7" s="108">
        <f>IF(AB7=F20,IF(E16="F","",E20),0)</f>
        <v>0</v>
      </c>
      <c r="AL7" s="108">
        <f>IF(AB7=F20,IF(E20="F","",E16),0)</f>
        <v>0</v>
      </c>
      <c r="AM7" s="110">
        <f t="shared" si="0"/>
        <v>0</v>
      </c>
      <c r="AN7" s="110">
        <f t="shared" si="0"/>
        <v>0</v>
      </c>
      <c r="AO7" s="106">
        <f>AM7-AN7</f>
        <v>0</v>
      </c>
      <c r="AQ7" s="94"/>
      <c r="AR7" s="116" t="str">
        <f>Z15</f>
        <v/>
      </c>
      <c r="AS7" s="117" t="str">
        <f>IF(AR7="","",(VLOOKUP(AR7,AB4:AO17,14,FALSE)))</f>
        <v/>
      </c>
      <c r="AT7" s="97"/>
    </row>
    <row r="8" spans="1:46" ht="30" customHeight="1" thickBot="1" x14ac:dyDescent="0.25">
      <c r="A8" s="218" t="s">
        <v>159</v>
      </c>
      <c r="B8" s="217" t="str">
        <f>IF(OR(E6="F",E6="A"),F10,IF(OR(E10="F",E10="A"),F6,IF(E6=E10,"",(IF(E6&gt;E10,F6,F10)))))</f>
        <v/>
      </c>
      <c r="C8" s="121" t="str">
        <f>IF(OR(E6="F",E6="A"),G10,IF(OR(E10="F",E10="A"),G6,IF(E6=E10,"",(IF(E6&gt;E10,G6,G10)))))</f>
        <v/>
      </c>
      <c r="D8" s="86"/>
      <c r="E8" s="113"/>
      <c r="F8" s="100" t="s">
        <v>103</v>
      </c>
      <c r="G8" s="101"/>
      <c r="H8" s="98"/>
      <c r="I8" s="99"/>
      <c r="J8" s="68" t="str">
        <f>IF(OR(AND(O7="F",O9="F"),AND(O7="A",O9="A")),M9,IF(OR(O7="F",O7="A"),M7,IF(OR(O9="F",O9="A"),M9,IF(O7=O9,"",(IF(O7&lt;O9,M7,M9))))))</f>
        <v/>
      </c>
      <c r="K8" s="69" t="str">
        <f>IF(OR(AND(O7="F",O9="F"),AND(O7="A",O9="A")),N9,IF(OR(O7="F",O7="A"),N7,IF(OR(O9="F",O9="A"),N9,IF(O7=O9,"",(IF(O7&lt;O9,N7,N9))))))</f>
        <v/>
      </c>
      <c r="L8" s="89"/>
      <c r="M8" s="100" t="s">
        <v>96</v>
      </c>
      <c r="N8" s="101"/>
      <c r="O8" s="102"/>
      <c r="P8" s="122"/>
      <c r="Q8" s="68" t="str">
        <f>IF(OR(AND(O7="F",O9="F"),AND(O7="A",O9="A")),M7,IF(OR(O7="F",O7="A"),M9,IF(OR(O9="F",O9="A"),M7,IF(O7=O9,"",(IF(O7&gt;O9,M7,M9))))))</f>
        <v/>
      </c>
      <c r="R8" s="69" t="str">
        <f>IF(OR(AND(O7="F",O9="F"),AND(O7="A",O9="A")),N7,IF(OR(O7="F",O7="A"),N9,IF(OR(O9="F",O9="A"),N7,IF(O7=O9,"",(IF(O7&gt;O9,N7,N9))))))</f>
        <v/>
      </c>
      <c r="S8" s="104"/>
      <c r="T8" s="105"/>
      <c r="U8" s="86"/>
      <c r="V8" s="86"/>
      <c r="W8" s="87"/>
      <c r="AQ8" s="123"/>
      <c r="AR8" s="124"/>
      <c r="AS8" s="124"/>
      <c r="AT8" s="125"/>
    </row>
    <row r="9" spans="1:46" ht="30" customHeight="1" x14ac:dyDescent="0.2">
      <c r="A9" s="82"/>
      <c r="B9" s="86"/>
      <c r="C9" s="86"/>
      <c r="D9" s="86"/>
      <c r="E9" s="113"/>
      <c r="F9" s="84"/>
      <c r="G9" s="84"/>
      <c r="H9" s="84"/>
      <c r="I9" s="83"/>
      <c r="J9" s="88"/>
      <c r="K9" s="84" t="s">
        <v>9</v>
      </c>
      <c r="L9" s="89">
        <v>8</v>
      </c>
      <c r="M9" s="68" t="str">
        <f>IF(IF(ISNA(VLOOKUP(L9,Inscrits!$A$2:$C$33,2,FALSE)),"",VLOOKUP(L9,Inscrits!$A$2:$C$33,2,FALSE))=0,"",IF(ISNA(VLOOKUP(L9,Inscrits!$A$2:$C$33,2,FALSE)),"",VLOOKUP(L9,Inscrits!$A$2:$C$33,2,FALSE)))</f>
        <v>STEENHAUT Clémentine</v>
      </c>
      <c r="N9" s="69" t="str">
        <f>IF(IF(ISNA(VLOOKUP(L9,Inscrits!$A$2:$C$33,3,FALSE)),"","("&amp;(VLOOKUP(L9,Inscrits!$A$2:$C$33,3,FALSE))&amp;")")="()","",IF(ISNA(VLOOKUP(L9,Inscrits!$A$2:$C$33,3,FALSE)),"","("&amp;(VLOOKUP(L9,Inscrits!$A$2:$C$33,3,FALSE))&amp;")"))</f>
        <v>(11)</v>
      </c>
      <c r="O9" s="90"/>
      <c r="P9" s="91"/>
      <c r="Q9" s="92" t="s">
        <v>10</v>
      </c>
      <c r="R9" s="84"/>
      <c r="S9" s="83"/>
      <c r="T9" s="86"/>
      <c r="U9" s="86"/>
      <c r="V9" s="86"/>
      <c r="W9" s="87"/>
    </row>
    <row r="10" spans="1:46" ht="30" customHeight="1" x14ac:dyDescent="0.2">
      <c r="A10" s="82"/>
      <c r="B10" s="86"/>
      <c r="C10" s="86"/>
      <c r="D10" s="118"/>
      <c r="E10" s="99"/>
      <c r="F10" s="68" t="str">
        <f>IF(OR(S14="F",S14="A"),Q14,IF(OR(S18="F",S18="A"),Q18,IF(S14=S18,"",(IF(S14&lt;S18,Q14,Q18)))))</f>
        <v/>
      </c>
      <c r="G10" s="69" t="str">
        <f>IF(OR(S14="F",S14="A"),R14,IF(OR(S18="F",S18="A"),R18,IF(S14=S18,"",(IF(S14&lt;S18,R14,R18)))))</f>
        <v/>
      </c>
      <c r="H10" s="84"/>
      <c r="I10" s="83"/>
      <c r="J10" s="84"/>
      <c r="K10" s="84"/>
      <c r="L10" s="89"/>
      <c r="M10" s="84"/>
      <c r="N10" s="84"/>
      <c r="O10" s="83"/>
      <c r="P10" s="84"/>
      <c r="Q10" s="84"/>
      <c r="R10" s="84"/>
      <c r="S10" s="83"/>
      <c r="T10" s="86"/>
      <c r="W10" s="87"/>
    </row>
    <row r="11" spans="1:46" ht="30" customHeight="1" thickBot="1" x14ac:dyDescent="0.25">
      <c r="A11" s="82"/>
      <c r="B11" s="86"/>
      <c r="C11" s="86"/>
      <c r="D11" s="86"/>
      <c r="E11" s="83"/>
      <c r="F11" s="88"/>
      <c r="G11" s="84" t="s">
        <v>33</v>
      </c>
      <c r="H11" s="84"/>
      <c r="I11" s="83"/>
      <c r="J11" s="84"/>
      <c r="K11" s="84"/>
      <c r="L11" s="89"/>
      <c r="M11" s="84"/>
      <c r="N11" s="84"/>
      <c r="O11" s="83"/>
      <c r="P11" s="84"/>
      <c r="Q11" s="84"/>
      <c r="R11" s="84"/>
      <c r="S11" s="83"/>
      <c r="T11" s="86"/>
      <c r="U11" s="205" t="s">
        <v>37</v>
      </c>
      <c r="V11" s="206"/>
      <c r="W11" s="87"/>
    </row>
    <row r="12" spans="1:46" ht="30" customHeight="1" x14ac:dyDescent="0.2">
      <c r="A12" s="82"/>
      <c r="E12" s="83"/>
      <c r="F12" s="84"/>
      <c r="G12" s="84"/>
      <c r="H12" s="84"/>
      <c r="I12" s="83"/>
      <c r="J12" s="84"/>
      <c r="K12" s="84"/>
      <c r="L12" s="89"/>
      <c r="M12" s="84"/>
      <c r="N12" s="84"/>
      <c r="O12" s="83"/>
      <c r="P12" s="84"/>
      <c r="Q12" s="84"/>
      <c r="R12" s="84"/>
      <c r="S12" s="83"/>
      <c r="T12" s="86"/>
      <c r="U12" s="86"/>
      <c r="V12" s="86"/>
      <c r="W12" s="87"/>
      <c r="AQ12" s="208" t="s">
        <v>38</v>
      </c>
      <c r="AR12" s="209"/>
      <c r="AS12" s="209"/>
      <c r="AT12" s="210"/>
    </row>
    <row r="13" spans="1:46" ht="30" customHeight="1" thickBot="1" x14ac:dyDescent="0.25">
      <c r="A13" s="82"/>
      <c r="B13" s="205" t="s">
        <v>37</v>
      </c>
      <c r="C13" s="206"/>
      <c r="E13" s="83"/>
      <c r="F13" s="84"/>
      <c r="G13" s="84"/>
      <c r="H13" s="84"/>
      <c r="I13" s="83"/>
      <c r="J13" s="88"/>
      <c r="K13" s="88" t="s">
        <v>11</v>
      </c>
      <c r="L13" s="89">
        <v>5</v>
      </c>
      <c r="M13" s="68" t="str">
        <f>IF(IF(ISNA(VLOOKUP(L13,Inscrits!$A$2:$C$33,2,FALSE)),"",VLOOKUP(L13,Inscrits!$A$2:$C$33,2,FALSE))=0,"",IF(ISNA(VLOOKUP(L13,Inscrits!$A$2:$C$33,2,FALSE)),"",VLOOKUP(L13,Inscrits!$A$2:$C$33,2,FALSE)))</f>
        <v>MANDY Nathalie</v>
      </c>
      <c r="N13" s="69" t="str">
        <f>IF(IF(ISNA(VLOOKUP(L13,Inscrits!$A$2:$C$33,3,FALSE)),"","("&amp;(VLOOKUP(L13,Inscrits!$A$2:$C$33,3,FALSE))&amp;")")="()","",IF(ISNA(VLOOKUP(L13,Inscrits!$A$2:$C$33,3,FALSE)),"","("&amp;(VLOOKUP(L13,Inscrits!$A$2:$C$33,3,FALSE))&amp;")"))</f>
        <v>(6)</v>
      </c>
      <c r="O13" s="90"/>
      <c r="P13" s="91"/>
      <c r="Q13" s="92" t="s">
        <v>7</v>
      </c>
      <c r="R13" s="84"/>
      <c r="S13" s="83"/>
      <c r="T13" s="86"/>
      <c r="U13" s="86"/>
      <c r="V13" s="86"/>
      <c r="W13" s="87"/>
      <c r="AC13" s="93" t="s">
        <v>2</v>
      </c>
      <c r="AD13" s="93" t="s">
        <v>3</v>
      </c>
      <c r="AE13" s="93" t="s">
        <v>2</v>
      </c>
      <c r="AF13" s="93" t="s">
        <v>3</v>
      </c>
      <c r="AG13" s="93" t="s">
        <v>2</v>
      </c>
      <c r="AH13" s="93" t="s">
        <v>3</v>
      </c>
      <c r="AI13" s="93" t="s">
        <v>2</v>
      </c>
      <c r="AJ13" s="93" t="s">
        <v>3</v>
      </c>
      <c r="AK13" s="93" t="s">
        <v>2</v>
      </c>
      <c r="AL13" s="93" t="s">
        <v>3</v>
      </c>
      <c r="AM13" s="93" t="s">
        <v>2</v>
      </c>
      <c r="AN13" s="93" t="s">
        <v>3</v>
      </c>
      <c r="AO13" s="93" t="s">
        <v>4</v>
      </c>
      <c r="AQ13" s="126"/>
      <c r="AR13" s="127" t="s">
        <v>5</v>
      </c>
      <c r="AS13" s="128" t="s">
        <v>4</v>
      </c>
      <c r="AT13" s="129"/>
    </row>
    <row r="14" spans="1:46" ht="30" customHeight="1" thickTop="1" x14ac:dyDescent="0.2">
      <c r="A14" s="82"/>
      <c r="E14" s="83"/>
      <c r="F14" s="84"/>
      <c r="G14" s="84"/>
      <c r="H14" s="98"/>
      <c r="I14" s="99"/>
      <c r="J14" s="68" t="str">
        <f>IF(OR(AND(O13="F",O15="F"),AND(O13="A",O15="A")),M15,IF(OR(O13="F",O13="A"),M13,IF(OR(O15="F",O15="A"),M15,IF(O13=O15,"",(IF(O13&lt;O15,M13,M15))))))</f>
        <v/>
      </c>
      <c r="K14" s="69" t="str">
        <f>IF(OR(AND(O13="F",O15="F"),AND(O13="A",O15="A")),N15,IF(OR(O13="F",O13="A"),N13,IF(OR(O15="F",O15="A"),N15,IF(O13=O15,"",(IF(O13&lt;O15,N13,N15))))))</f>
        <v/>
      </c>
      <c r="L14" s="89"/>
      <c r="M14" s="100" t="s">
        <v>97</v>
      </c>
      <c r="N14" s="101"/>
      <c r="O14" s="102"/>
      <c r="P14" s="103"/>
      <c r="Q14" s="68" t="str">
        <f>IF(OR(AND(O13="F",O15="F"),AND(O13="A",O15="A")),M13,IF(OR(O13="F",O13="A"),M15,IF(OR(O15="F",O15="A"),M13,IF(O13=O15,"",(IF(O13&gt;O15,M13,M15))))))</f>
        <v/>
      </c>
      <c r="R14" s="69" t="str">
        <f>IF(OR(AND(O13="F",O15="F"),AND(O13="A",O15="A")),N13,IF(OR(O13="F",O13="A"),N15,IF(OR(O15="F",O15="A"),N13,IF(O13=O15,"",(IF(O13&gt;O15,N13,N15))))))</f>
        <v/>
      </c>
      <c r="S14" s="104"/>
      <c r="T14" s="105"/>
      <c r="U14" s="86"/>
      <c r="V14" s="86"/>
      <c r="W14" s="87"/>
      <c r="Y14" s="80">
        <v>2</v>
      </c>
      <c r="Z14" s="106" t="str">
        <f>IF(U16="","",IF(U16=Q14,Q14,Q18))</f>
        <v/>
      </c>
      <c r="AB14" s="107" t="str">
        <f>M13</f>
        <v>MANDY Nathalie</v>
      </c>
      <c r="AC14" s="108">
        <f>IF(AB14=M13,IF(O15="F","",O13),0)</f>
        <v>0</v>
      </c>
      <c r="AD14" s="108">
        <f>IF(AB14=M13,IF(O13="F","",O15),0)</f>
        <v>0</v>
      </c>
      <c r="AE14" s="109">
        <f>IF(AB14=Q14,IF(S18="F","",S14),0)</f>
        <v>0</v>
      </c>
      <c r="AF14" s="109">
        <f>IF(AB14=Q14,IF(S14="F","",S18),0)</f>
        <v>0</v>
      </c>
      <c r="AG14" s="108">
        <f>IF(AB14=J14,IF(I18="F","",I14),0)</f>
        <v>0</v>
      </c>
      <c r="AH14" s="108">
        <f>IF(AB14=J14,IF(I14="F","",I18),0)</f>
        <v>0</v>
      </c>
      <c r="AI14" s="109">
        <f>IF(AB14=F16,IF(E20="F","",E16),0)</f>
        <v>0</v>
      </c>
      <c r="AJ14" s="109">
        <f>IF(AB14=F16,IF(E16="F","",E20),0)</f>
        <v>0</v>
      </c>
      <c r="AK14" s="108">
        <f>IF(AB14=F10,IF(E6="F","",E10),0)</f>
        <v>0</v>
      </c>
      <c r="AL14" s="108">
        <f>IF(AB14=F10,IF(E10="F","",E6),0)</f>
        <v>0</v>
      </c>
      <c r="AM14" s="110">
        <f t="shared" ref="AM14:AN17" si="1">SUM(AC14,AE14,AG14,AI14,AK14)</f>
        <v>0</v>
      </c>
      <c r="AN14" s="110">
        <f t="shared" si="1"/>
        <v>0</v>
      </c>
      <c r="AO14" s="106">
        <f>AM14-AN14</f>
        <v>0</v>
      </c>
      <c r="AQ14" s="126"/>
      <c r="AR14" s="111" t="str">
        <f>Z6</f>
        <v/>
      </c>
      <c r="AS14" s="112" t="str">
        <f>IF(AR14="","",(VLOOKUP(AR14,AB4:AO17,14,FALSE)))</f>
        <v/>
      </c>
      <c r="AT14" s="129"/>
    </row>
    <row r="15" spans="1:46" ht="30" customHeight="1" thickBot="1" x14ac:dyDescent="0.25">
      <c r="A15" s="82"/>
      <c r="B15" s="86"/>
      <c r="C15" s="86"/>
      <c r="D15" s="86"/>
      <c r="E15" s="83"/>
      <c r="F15" s="88"/>
      <c r="G15" s="84" t="s">
        <v>32</v>
      </c>
      <c r="H15" s="84"/>
      <c r="I15" s="113"/>
      <c r="J15" s="84"/>
      <c r="K15" s="84"/>
      <c r="L15" s="89">
        <v>12</v>
      </c>
      <c r="M15" s="68" t="str">
        <f>IF(IF(ISNA(VLOOKUP(L15,Inscrits!$A$2:$C$33,2,FALSE)),"",VLOOKUP(L15,Inscrits!$A$2:$C$33,2,FALSE))=0,"",IF(ISNA(VLOOKUP(L15,Inscrits!$A$2:$C$33,2,FALSE)),"",VLOOKUP(L15,Inscrits!$A$2:$C$33,2,FALSE)))</f>
        <v>CHARLET Céline</v>
      </c>
      <c r="N15" s="69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0"/>
      <c r="P15" s="91"/>
      <c r="Q15" s="84"/>
      <c r="R15" s="84"/>
      <c r="S15" s="83"/>
      <c r="T15" s="114"/>
      <c r="U15" s="115" t="s">
        <v>30</v>
      </c>
      <c r="V15" s="86"/>
      <c r="W15" s="87"/>
      <c r="Y15" s="80">
        <v>4</v>
      </c>
      <c r="Z15" s="106" t="str">
        <f>IF(B18="","",IF(B18=F16,F16,F20))</f>
        <v/>
      </c>
      <c r="AB15" s="107" t="str">
        <f>M15</f>
        <v>CHARLET Céline</v>
      </c>
      <c r="AC15" s="108">
        <f>IF(AB15=M15,IF(O13="F","",O15),0)</f>
        <v>0</v>
      </c>
      <c r="AD15" s="108">
        <f>IF(AB15=M15,IF(O15="F","",O13),0)</f>
        <v>0</v>
      </c>
      <c r="AE15" s="109">
        <f>IF(AB15=Q14,IF(S18="F","",S14),0)</f>
        <v>0</v>
      </c>
      <c r="AF15" s="109">
        <f>IF(AB15=Q14,IF(S14="F","",S18),0)</f>
        <v>0</v>
      </c>
      <c r="AG15" s="108">
        <f>IF(AB15=J14,IF(I18="F","",I14),0)</f>
        <v>0</v>
      </c>
      <c r="AH15" s="108">
        <f>IF(AB15=J14,IF(I14="F","",I18),0)</f>
        <v>0</v>
      </c>
      <c r="AI15" s="109">
        <f>IF(AB15=F16,IF(E20="F","",E16),0)</f>
        <v>0</v>
      </c>
      <c r="AJ15" s="109">
        <f>IF(AB15=F16,IF(E16="F","",E20),0)</f>
        <v>0</v>
      </c>
      <c r="AK15" s="108">
        <f>IF(AB15=F10,IF(E6="F","",E10),0)</f>
        <v>0</v>
      </c>
      <c r="AL15" s="108">
        <f>IF(AB15=F10,IF(E10="F","",E6),0)</f>
        <v>0</v>
      </c>
      <c r="AM15" s="110">
        <f t="shared" si="1"/>
        <v>0</v>
      </c>
      <c r="AN15" s="110">
        <f t="shared" si="1"/>
        <v>0</v>
      </c>
      <c r="AO15" s="106">
        <f>AM15-AN15</f>
        <v>0</v>
      </c>
      <c r="AQ15" s="126"/>
      <c r="AR15" s="116" t="str">
        <f>Z16</f>
        <v/>
      </c>
      <c r="AS15" s="117" t="str">
        <f>IF(AR15="","",(VLOOKUP(AR15,AB4:AO17,14,FALSE)))</f>
        <v/>
      </c>
      <c r="AT15" s="129"/>
    </row>
    <row r="16" spans="1:46" ht="30" customHeight="1" thickBot="1" x14ac:dyDescent="0.25">
      <c r="A16" s="82"/>
      <c r="B16" s="86"/>
      <c r="C16" s="86"/>
      <c r="D16" s="118"/>
      <c r="E16" s="99"/>
      <c r="F16" s="68" t="str">
        <f>IF(OR(I14="F",I14="A"),J18,IF(OR(I18="F",I18="A"),J14,IF(I14=I18,"",(IF(I14&gt;I18,J14,J18)))))</f>
        <v/>
      </c>
      <c r="G16" s="69" t="str">
        <f>IF(OR(I14="F",I14="A"),K18,IF(OR(I18="F",I18="A"),K14,IF(I14=I18,"",(IF(I14&gt;I18,K14,K18)))))</f>
        <v/>
      </c>
      <c r="H16" s="84"/>
      <c r="I16" s="113"/>
      <c r="J16" s="100" t="s">
        <v>102</v>
      </c>
      <c r="K16" s="101"/>
      <c r="L16" s="89"/>
      <c r="M16" s="84"/>
      <c r="N16" s="84"/>
      <c r="O16" s="83"/>
      <c r="P16" s="84"/>
      <c r="Q16" s="100" t="s">
        <v>100</v>
      </c>
      <c r="R16" s="101"/>
      <c r="S16" s="83"/>
      <c r="T16" s="119"/>
      <c r="U16" s="68" t="str">
        <f>IF(OR(S14="F",S14="A"),Q18,IF(OR(S18="F",S18="A"),Q14,IF(S14=S18,"",(IF(S14&gt;S18,Q14,Q18)))))</f>
        <v/>
      </c>
      <c r="V16" s="219" t="str">
        <f>IF(OR(S14="F",S14="A"),R18,IF(OR(S18="F",S18="A"),R14,IF(S14=S18,"",(IF(S14&gt;S18,R14,R18)))))</f>
        <v/>
      </c>
      <c r="W16" s="220" t="s">
        <v>56</v>
      </c>
      <c r="Y16" s="80">
        <v>6</v>
      </c>
      <c r="Z16" s="106" t="str">
        <f>IF(B18="","",IF(B18=F16,F20,F16))</f>
        <v/>
      </c>
      <c r="AB16" s="107" t="str">
        <f>M17</f>
        <v>COITTE Delphine</v>
      </c>
      <c r="AC16" s="108" t="str">
        <f>IF(AB16=M17,IF(O19="F","",O17),0)</f>
        <v>F</v>
      </c>
      <c r="AD16" s="108" t="str">
        <f>IF(AB16=M17,IF(O17="F","",O19),0)</f>
        <v/>
      </c>
      <c r="AE16" s="109">
        <f>IF(AB16=Q18,IF(S14="F","",S18),0)</f>
        <v>0</v>
      </c>
      <c r="AF16" s="109">
        <f>IF(AB16=Q18,IF(S18="F","",S14),0)</f>
        <v>0</v>
      </c>
      <c r="AG16" s="108" t="str">
        <f>IF(AB16=J18,IF(I14="F","",I18),0)</f>
        <v>F</v>
      </c>
      <c r="AH16" s="108" t="str">
        <f>IF(AB16=J18,IF(I18="F","",I14),0)</f>
        <v/>
      </c>
      <c r="AI16" s="109">
        <f>IF(AB16=F16,IF(E20="F","",E16),0)</f>
        <v>0</v>
      </c>
      <c r="AJ16" s="109">
        <f>IF(AB16=F16,IF(E16="F","",E20),0)</f>
        <v>0</v>
      </c>
      <c r="AK16" s="108">
        <f>IF(AB16=F10,IF(E6="F","",E10),0)</f>
        <v>0</v>
      </c>
      <c r="AL16" s="108">
        <f>IF(AB16=F10,IF(E10="F","",E6),0)</f>
        <v>0</v>
      </c>
      <c r="AM16" s="110">
        <f t="shared" si="1"/>
        <v>0</v>
      </c>
      <c r="AN16" s="110">
        <f t="shared" si="1"/>
        <v>0</v>
      </c>
      <c r="AO16" s="106">
        <f>AM16-AN16</f>
        <v>0</v>
      </c>
      <c r="AQ16" s="126"/>
      <c r="AR16" s="116" t="str">
        <f>Z7</f>
        <v/>
      </c>
      <c r="AS16" s="117" t="str">
        <f>IF(AR16="","",(VLOOKUP(AR16,AB4:AO17,14,FALSE)))</f>
        <v/>
      </c>
      <c r="AT16" s="129"/>
    </row>
    <row r="17" spans="1:46" ht="30" customHeight="1" thickBot="1" x14ac:dyDescent="0.25">
      <c r="A17" s="82"/>
      <c r="B17" s="120"/>
      <c r="C17" s="86" t="s">
        <v>36</v>
      </c>
      <c r="D17" s="86"/>
      <c r="E17" s="113"/>
      <c r="F17" s="84"/>
      <c r="G17" s="84"/>
      <c r="H17" s="84"/>
      <c r="I17" s="113"/>
      <c r="J17" s="84"/>
      <c r="K17" s="84"/>
      <c r="L17" s="89">
        <v>13</v>
      </c>
      <c r="M17" s="68" t="str">
        <f>IF(IF(ISNA(VLOOKUP(L17,Inscrits!$A$2:$C$33,2,FALSE)),"",VLOOKUP(L17,Inscrits!$A$2:$C$33,2,FALSE))=0,"",IF(ISNA(VLOOKUP(L17,Inscrits!$A$2:$C$33,2,FALSE)),"",VLOOKUP(L17,Inscrits!$A$2:$C$33,2,FALSE)))</f>
        <v>COITTE Delphine</v>
      </c>
      <c r="N17" s="69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0" t="s">
        <v>50</v>
      </c>
      <c r="P17" s="91"/>
      <c r="Q17" s="84"/>
      <c r="R17" s="84"/>
      <c r="S17" s="83"/>
      <c r="T17" s="114"/>
      <c r="U17" s="86"/>
      <c r="V17" s="86"/>
      <c r="W17" s="87"/>
      <c r="Y17" s="80">
        <v>8</v>
      </c>
      <c r="Z17" s="106" t="str">
        <f>IF(F16="","",IF(F16=J14,J18,J14))</f>
        <v/>
      </c>
      <c r="AB17" s="107" t="str">
        <f>M19</f>
        <v>PESQUER Jackie</v>
      </c>
      <c r="AC17" s="108" t="str">
        <f>IF(AB17=M19,IF(O17="F","",O19),0)</f>
        <v/>
      </c>
      <c r="AD17" s="108" t="str">
        <f>IF(AB17=M19,IF(O19="F","",O17),0)</f>
        <v>F</v>
      </c>
      <c r="AE17" s="109">
        <f>IF(AB17=Q18,IF(S14="F","",S18),0)</f>
        <v>0</v>
      </c>
      <c r="AF17" s="109">
        <f>IF(AB17=Q18,IF(S18="F","",S14),0)</f>
        <v>0</v>
      </c>
      <c r="AG17" s="108">
        <f>IF(AB17=J18,IF(I14="F","",I18),0)</f>
        <v>0</v>
      </c>
      <c r="AH17" s="108">
        <f>IF(AB17=J18,IF(I18="F","",I14),0)</f>
        <v>0</v>
      </c>
      <c r="AI17" s="109">
        <f>IF(AB17=F16,IF(E20="F","",E16),0)</f>
        <v>0</v>
      </c>
      <c r="AJ17" s="109">
        <f>IF(AB17=F16,IF(E16="F","",E20),0)</f>
        <v>0</v>
      </c>
      <c r="AK17" s="108">
        <f>IF(AB17=F10,IF(E6="F","",E10),0)</f>
        <v>0</v>
      </c>
      <c r="AL17" s="108">
        <f>IF(AB17=F10,IF(E10="F","",E6),0)</f>
        <v>0</v>
      </c>
      <c r="AM17" s="110">
        <f t="shared" si="1"/>
        <v>0</v>
      </c>
      <c r="AN17" s="110">
        <f>SUM(AD17,AF17,AH17,AJ17,AL17)</f>
        <v>0</v>
      </c>
      <c r="AO17" s="106">
        <f>AM17-AN17</f>
        <v>0</v>
      </c>
      <c r="AQ17" s="126"/>
      <c r="AR17" s="116" t="str">
        <f>Z17</f>
        <v/>
      </c>
      <c r="AS17" s="117" t="str">
        <f>IF(AR17="","",(VLOOKUP(AR17,AB4:AO17,14,FALSE)))</f>
        <v/>
      </c>
      <c r="AT17" s="129"/>
    </row>
    <row r="18" spans="1:46" ht="30" customHeight="1" thickBot="1" x14ac:dyDescent="0.25">
      <c r="A18" s="218" t="s">
        <v>49</v>
      </c>
      <c r="B18" s="217" t="str">
        <f>IF(OR(E16="F",E16="A"),F20,IF(OR(E20="F",E20="A"),F16,IF(E16=E20,"",(IF(E16&gt;E20,F16,F20)))))</f>
        <v/>
      </c>
      <c r="C18" s="121" t="str">
        <f>IF(OR(E16="F",E16="A"),G20,IF(OR(E20="F",E20="A"),G16,IF(E16=E20,"",(IF(E16&gt;E20,G16,G20)))))</f>
        <v/>
      </c>
      <c r="D18" s="86"/>
      <c r="E18" s="113"/>
      <c r="F18" s="100" t="s">
        <v>104</v>
      </c>
      <c r="G18" s="101"/>
      <c r="H18" s="98"/>
      <c r="I18" s="99" t="s">
        <v>50</v>
      </c>
      <c r="J18" s="68" t="str">
        <f>IF(OR(AND(O17="F",O19="F"),AND(O17="A",O19="A")),M19,IF(OR(O17="F",O17="A"),M17,IF(OR(O19="F",O19="A"),M19,IF(O17=O19,"",(IF(O17&lt;O19,M17,M19))))))</f>
        <v>COITTE Delphine</v>
      </c>
      <c r="K18" s="69" t="str">
        <f>IF(OR(AND(O17="F",O19="F"),AND(O17="A",O19="A")),N19,IF(OR(O17="F",O17="A"),N17,IF(OR(O19="F",O19="A"),N19,IF(O17=O19,"",(IF(O17&lt;O19,N17,N19))))))</f>
        <v>(NC)</v>
      </c>
      <c r="L18" s="89"/>
      <c r="M18" s="100" t="s">
        <v>98</v>
      </c>
      <c r="N18" s="101"/>
      <c r="O18" s="102"/>
      <c r="P18" s="122"/>
      <c r="Q18" s="68" t="str">
        <f>IF(OR(AND(O17="F",O19="F"),AND(O17="A",O19="A")),M17,IF(OR(O17="F",O17="A"),M19,IF(OR(O19="F",O19="A"),M17,IF(O17=O19,"",(IF(O17&gt;O19,M17,M19))))))</f>
        <v>PESQUER Jackie</v>
      </c>
      <c r="R18" s="69" t="str">
        <f>IF(OR(AND(O17="F",O19="F"),AND(O17="A",O19="A")),N17,IF(OR(O17="F",O17="A"),N19,IF(OR(O19="F",O19="A"),N17,IF(O17=O19,"",(IF(O17&gt;O19,N17,N19))))))</f>
        <v>(4)</v>
      </c>
      <c r="S18" s="104"/>
      <c r="T18" s="105"/>
      <c r="U18" s="86"/>
      <c r="V18" s="86"/>
      <c r="W18" s="87"/>
      <c r="AQ18" s="130"/>
      <c r="AR18" s="131"/>
      <c r="AS18" s="131"/>
      <c r="AT18" s="132"/>
    </row>
    <row r="19" spans="1:46" ht="30" customHeight="1" x14ac:dyDescent="0.2">
      <c r="A19" s="82"/>
      <c r="B19" s="86"/>
      <c r="C19" s="86"/>
      <c r="D19" s="86"/>
      <c r="E19" s="113"/>
      <c r="F19" s="84"/>
      <c r="G19" s="84"/>
      <c r="H19" s="84"/>
      <c r="I19" s="83"/>
      <c r="J19" s="88"/>
      <c r="K19" s="84" t="s">
        <v>29</v>
      </c>
      <c r="L19" s="89">
        <v>4</v>
      </c>
      <c r="M19" s="68" t="str">
        <f>IF(IF(ISNA(VLOOKUP(L19,Inscrits!$A$2:$C$33,2,FALSE)),"",VLOOKUP(L19,Inscrits!$A$2:$C$33,2,FALSE))=0,"",IF(ISNA(VLOOKUP(L19,Inscrits!$A$2:$C$33,2,FALSE)),"",VLOOKUP(L19,Inscrits!$A$2:$C$33,2,FALSE)))</f>
        <v>PESQUER Jackie</v>
      </c>
      <c r="N19" s="69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90"/>
      <c r="P19" s="91"/>
      <c r="Q19" s="92" t="s">
        <v>6</v>
      </c>
      <c r="R19" s="84"/>
      <c r="S19" s="83"/>
      <c r="T19" s="86"/>
      <c r="U19" s="86"/>
      <c r="V19" s="86"/>
      <c r="W19" s="87"/>
    </row>
    <row r="20" spans="1:46" ht="30" customHeight="1" x14ac:dyDescent="0.2">
      <c r="A20" s="82"/>
      <c r="B20" s="86"/>
      <c r="C20" s="86"/>
      <c r="D20" s="118"/>
      <c r="E20" s="99"/>
      <c r="F20" s="68" t="str">
        <f>IF(OR(S4="F",S4="A"),Q4,IF(OR(S8="F",S8="A"),Q8,IF(S4=S8,"",(IF(S4&lt;S8,Q4,Q8)))))</f>
        <v/>
      </c>
      <c r="G20" s="69" t="str">
        <f>IF(OR(S4="F",S4="A"),R4,IF(OR(S8="F",S8="A"),R8,IF(S4=S8,"",(IF(S4&lt;S8,R4,R8)))))</f>
        <v/>
      </c>
      <c r="H20" s="84"/>
      <c r="I20" s="83"/>
      <c r="J20" s="84"/>
      <c r="K20" s="84"/>
      <c r="L20" s="89"/>
      <c r="M20" s="84"/>
      <c r="N20" s="84"/>
      <c r="O20" s="83"/>
      <c r="P20" s="84"/>
      <c r="Q20" s="84"/>
      <c r="R20" s="84"/>
      <c r="S20" s="83"/>
      <c r="T20" s="86"/>
      <c r="U20" s="86"/>
      <c r="V20" s="86"/>
      <c r="W20" s="87"/>
    </row>
    <row r="21" spans="1:46" ht="30" customHeight="1" x14ac:dyDescent="0.2">
      <c r="A21" s="82"/>
      <c r="B21" s="86"/>
      <c r="C21" s="86"/>
      <c r="D21" s="86"/>
      <c r="E21" s="83"/>
      <c r="F21" s="88"/>
      <c r="G21" s="84" t="s">
        <v>34</v>
      </c>
      <c r="H21" s="84"/>
      <c r="I21" s="83"/>
      <c r="J21" s="204" t="str">
        <f>IF(Accueil!G18=3,"","MATCHS EN 2 GAGNANTES COTE PERDANT")</f>
        <v/>
      </c>
      <c r="K21" s="204"/>
      <c r="L21" s="204"/>
      <c r="M21" s="204"/>
      <c r="N21" s="204"/>
      <c r="O21" s="204"/>
      <c r="P21" s="204"/>
      <c r="Q21" s="204"/>
      <c r="R21" s="204"/>
      <c r="S21" s="83"/>
      <c r="T21" s="86"/>
      <c r="U21" s="86"/>
      <c r="V21" s="86"/>
      <c r="W21" s="87"/>
    </row>
    <row r="22" spans="1:46" ht="30" customHeight="1" thickBot="1" x14ac:dyDescent="0.3">
      <c r="A22" s="133"/>
      <c r="B22" s="134"/>
      <c r="C22" s="134"/>
      <c r="D22" s="134"/>
      <c r="E22" s="135"/>
      <c r="F22" s="136"/>
      <c r="G22" s="136"/>
      <c r="H22" s="136"/>
      <c r="I22" s="135"/>
      <c r="J22" s="136"/>
      <c r="K22" s="136"/>
      <c r="L22" s="137"/>
      <c r="M22" s="136"/>
      <c r="N22" s="136"/>
      <c r="O22" s="135"/>
      <c r="P22" s="136"/>
      <c r="Q22" s="136"/>
      <c r="R22" s="136"/>
      <c r="S22" s="135"/>
      <c r="T22" s="134"/>
      <c r="U22" s="134"/>
      <c r="V22" s="134"/>
      <c r="W22" s="138"/>
    </row>
    <row r="23" spans="1:46" ht="30.95" customHeight="1" thickTop="1" x14ac:dyDescent="0.2"/>
    <row r="24" spans="1:46" ht="14.1" customHeight="1" x14ac:dyDescent="0.2">
      <c r="M24" s="84"/>
      <c r="N24" s="84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49" priority="1" stopIfTrue="1">
      <formula>AND(($F$6=$B$8),($F$6&lt;&gt;""))</formula>
    </cfRule>
    <cfRule type="expression" priority="2" stopIfTrue="1">
      <formula>$F$10=$B$8</formula>
    </cfRule>
    <cfRule type="expression" dxfId="148" priority="3" stopIfTrue="1">
      <formula>AND(($G$8&lt;&gt;""),($F$6&lt;&gt;""))</formula>
    </cfRule>
  </conditionalFormatting>
  <conditionalFormatting sqref="J8:K8">
    <cfRule type="expression" dxfId="147" priority="4" stopIfTrue="1">
      <formula>AND(($J$8=$F$6),($J$8&lt;&gt;""))</formula>
    </cfRule>
    <cfRule type="expression" priority="5" stopIfTrue="1">
      <formula>$J$4=$F$6</formula>
    </cfRule>
    <cfRule type="expression" dxfId="146" priority="6" stopIfTrue="1">
      <formula>AND(($K$6&lt;&gt;""),($J$8&lt;&gt;""))</formula>
    </cfRule>
  </conditionalFormatting>
  <conditionalFormatting sqref="J4:K4">
    <cfRule type="expression" dxfId="145" priority="7" stopIfTrue="1">
      <formula>AND(($J$4=$F$6),($J$4&lt;&gt;""))</formula>
    </cfRule>
    <cfRule type="expression" priority="8" stopIfTrue="1">
      <formula>$J$8=$F$6</formula>
    </cfRule>
    <cfRule type="expression" dxfId="144" priority="9" stopIfTrue="1">
      <formula>AND(($K$6&lt;&gt;""),($J$4&lt;&gt;""))</formula>
    </cfRule>
  </conditionalFormatting>
  <conditionalFormatting sqref="F10:G10">
    <cfRule type="expression" dxfId="143" priority="10" stopIfTrue="1">
      <formula>AND(($F$10=$B$8),($F$10&lt;&gt;""))</formula>
    </cfRule>
    <cfRule type="expression" priority="11" stopIfTrue="1">
      <formula>$F$6=$B$8</formula>
    </cfRule>
    <cfRule type="expression" dxfId="142" priority="12" stopIfTrue="1">
      <formula>AND(($G$8&lt;&gt;""),($F$10&lt;&gt;""))</formula>
    </cfRule>
  </conditionalFormatting>
  <conditionalFormatting sqref="F16:G16">
    <cfRule type="expression" dxfId="141" priority="13" stopIfTrue="1">
      <formula>AND(($F$16=$B$18),($F$16&lt;&gt;""))</formula>
    </cfRule>
    <cfRule type="expression" priority="14" stopIfTrue="1">
      <formula>$F$20=$B$18</formula>
    </cfRule>
    <cfRule type="expression" dxfId="140" priority="15" stopIfTrue="1">
      <formula>AND(($G$18&lt;&gt;""),($F$16&lt;&gt;""))</formula>
    </cfRule>
  </conditionalFormatting>
  <conditionalFormatting sqref="F20:G20">
    <cfRule type="expression" dxfId="139" priority="16" stopIfTrue="1">
      <formula>AND(($F$20=$B$18),($F$20&lt;&gt;""))</formula>
    </cfRule>
    <cfRule type="expression" priority="17" stopIfTrue="1">
      <formula>$F$16=$B$18</formula>
    </cfRule>
    <cfRule type="expression" dxfId="138" priority="18" stopIfTrue="1">
      <formula>AND(($G$18&lt;&gt;""),($F$20&lt;&gt;""))</formula>
    </cfRule>
  </conditionalFormatting>
  <conditionalFormatting sqref="J14:K14">
    <cfRule type="expression" dxfId="137" priority="19" stopIfTrue="1">
      <formula>AND(($J$14=$F$16),($J$14&lt;&gt;""))</formula>
    </cfRule>
    <cfRule type="expression" priority="20" stopIfTrue="1">
      <formula>$J$18=$F$16</formula>
    </cfRule>
    <cfRule type="expression" dxfId="136" priority="21" stopIfTrue="1">
      <formula>AND(($K$16&lt;&gt;""),($J$14&lt;&gt;""))</formula>
    </cfRule>
  </conditionalFormatting>
  <conditionalFormatting sqref="J18:K18">
    <cfRule type="expression" dxfId="135" priority="22" stopIfTrue="1">
      <formula>AND(($J$18=$F$16),($J$18&lt;&gt;""))</formula>
    </cfRule>
    <cfRule type="expression" priority="23" stopIfTrue="1">
      <formula>$J$14=$F$16</formula>
    </cfRule>
    <cfRule type="expression" dxfId="134" priority="24" stopIfTrue="1">
      <formula>AND(($K$16&lt;&gt;""),($J$18&lt;&gt;""))</formula>
    </cfRule>
  </conditionalFormatting>
  <conditionalFormatting sqref="Q4:R4">
    <cfRule type="expression" dxfId="133" priority="25" stopIfTrue="1">
      <formula>AND(($Q$4=$U$6),($Q$4&lt;&gt;""))</formula>
    </cfRule>
    <cfRule type="expression" priority="26" stopIfTrue="1">
      <formula>$Q$8=$U$6</formula>
    </cfRule>
    <cfRule type="expression" dxfId="132" priority="27" stopIfTrue="1">
      <formula>AND(($R$6&lt;&gt;""),($Q$4&lt;&gt;""))</formula>
    </cfRule>
  </conditionalFormatting>
  <conditionalFormatting sqref="Q8:R8">
    <cfRule type="expression" dxfId="131" priority="28" stopIfTrue="1">
      <formula>AND(($Q$8=$U$6),($Q$8&lt;&gt;""))</formula>
    </cfRule>
    <cfRule type="expression" priority="29" stopIfTrue="1">
      <formula>$Q$4=$U$6</formula>
    </cfRule>
    <cfRule type="expression" dxfId="130" priority="30" stopIfTrue="1">
      <formula>AND(($R$6&lt;&gt;""),($Q$8&lt;&gt;""))</formula>
    </cfRule>
  </conditionalFormatting>
  <conditionalFormatting sqref="Q14:R14">
    <cfRule type="expression" dxfId="129" priority="31" stopIfTrue="1">
      <formula>AND(($Q$14=$U$16),($Q$14&lt;&gt;""))</formula>
    </cfRule>
    <cfRule type="expression" priority="32" stopIfTrue="1">
      <formula>$Q$18=$U$16</formula>
    </cfRule>
    <cfRule type="expression" dxfId="128" priority="33" stopIfTrue="1">
      <formula>AND(($R$16&lt;&gt;""),($Q$14&lt;&gt;""))</formula>
    </cfRule>
  </conditionalFormatting>
  <conditionalFormatting sqref="Q18:R18">
    <cfRule type="expression" dxfId="127" priority="34" stopIfTrue="1">
      <formula>AND(($Q$18=$U$16),($Q$18&lt;&gt;""))</formula>
    </cfRule>
    <cfRule type="expression" priority="35" stopIfTrue="1">
      <formula>$Q$14=$U$16</formula>
    </cfRule>
    <cfRule type="expression" dxfId="126" priority="36" stopIfTrue="1">
      <formula>AND(($R$16&lt;&gt;""),($Q$18&lt;&gt;""))</formula>
    </cfRule>
  </conditionalFormatting>
  <conditionalFormatting sqref="M3:N3">
    <cfRule type="expression" dxfId="125" priority="37" stopIfTrue="1">
      <formula>AND(($M$3=$Q$4),($M$3&lt;&gt;""))</formula>
    </cfRule>
    <cfRule type="expression" dxfId="124" priority="38" stopIfTrue="1">
      <formula>$M$5=$Q$4</formula>
    </cfRule>
    <cfRule type="expression" dxfId="123" priority="39" stopIfTrue="1">
      <formula>AND(($N$4&lt;&gt;""),($M$3&lt;&gt;""))</formula>
    </cfRule>
  </conditionalFormatting>
  <conditionalFormatting sqref="M5:N5">
    <cfRule type="expression" dxfId="122" priority="40" stopIfTrue="1">
      <formula>AND(($M$5=$Q$4),($M$5&lt;&gt;""))</formula>
    </cfRule>
    <cfRule type="expression" priority="41" stopIfTrue="1">
      <formula>$M$3=$Q$4</formula>
    </cfRule>
    <cfRule type="expression" dxfId="121" priority="42" stopIfTrue="1">
      <formula>AND(($N$4&lt;&gt;""),($M$5&lt;&gt;""))</formula>
    </cfRule>
  </conditionalFormatting>
  <conditionalFormatting sqref="M7:N7">
    <cfRule type="expression" dxfId="120" priority="43" stopIfTrue="1">
      <formula>AND(($M$7=$Q$8),($M$7&lt;&gt;""))</formula>
    </cfRule>
    <cfRule type="expression" priority="44" stopIfTrue="1">
      <formula>$M$9=$Q$8</formula>
    </cfRule>
    <cfRule type="expression" dxfId="119" priority="45" stopIfTrue="1">
      <formula>AND(($N$8&lt;&gt;""),($M$7&lt;&gt;""))</formula>
    </cfRule>
  </conditionalFormatting>
  <conditionalFormatting sqref="M9:N9">
    <cfRule type="expression" dxfId="118" priority="46" stopIfTrue="1">
      <formula>AND(($M$9=$Q$8),($M$9&lt;&gt;""))</formula>
    </cfRule>
    <cfRule type="expression" priority="47" stopIfTrue="1">
      <formula>$M$7=$Q$8</formula>
    </cfRule>
    <cfRule type="expression" dxfId="117" priority="48" stopIfTrue="1">
      <formula>AND(($N$8&lt;&gt;""),($M$9&lt;&gt;""))</formula>
    </cfRule>
  </conditionalFormatting>
  <conditionalFormatting sqref="M13:N13">
    <cfRule type="expression" dxfId="116" priority="49" stopIfTrue="1">
      <formula>AND(($M$13=$Q$14),($M$13&lt;&gt;""))</formula>
    </cfRule>
    <cfRule type="expression" priority="50" stopIfTrue="1">
      <formula>$M$15=$Q$14</formula>
    </cfRule>
    <cfRule type="expression" dxfId="115" priority="51" stopIfTrue="1">
      <formula>AND(($N$14&lt;&gt;""),($M$13&lt;&gt;""))</formula>
    </cfRule>
  </conditionalFormatting>
  <conditionalFormatting sqref="M15:N15">
    <cfRule type="expression" dxfId="114" priority="52" stopIfTrue="1">
      <formula>AND(($M$15=$Q$14),($M$15&lt;&gt;""))</formula>
    </cfRule>
    <cfRule type="expression" priority="53" stopIfTrue="1">
      <formula>$M$13=$Q$14</formula>
    </cfRule>
    <cfRule type="expression" dxfId="113" priority="54" stopIfTrue="1">
      <formula>AND(($N$14&lt;&gt;""),($M$15&lt;&gt;""))</formula>
    </cfRule>
  </conditionalFormatting>
  <conditionalFormatting sqref="M17:N17">
    <cfRule type="expression" dxfId="112" priority="55" stopIfTrue="1">
      <formula>AND(($M$17=$Q$18),($M$17&lt;&gt;""))</formula>
    </cfRule>
    <cfRule type="expression" priority="56" stopIfTrue="1">
      <formula>$M$19=$Q$18</formula>
    </cfRule>
    <cfRule type="expression" dxfId="111" priority="57" stopIfTrue="1">
      <formula>AND(($N$18&lt;&gt;""),($M$17&lt;&gt;""))</formula>
    </cfRule>
  </conditionalFormatting>
  <conditionalFormatting sqref="M19:N19">
    <cfRule type="expression" dxfId="110" priority="58" stopIfTrue="1">
      <formula>AND(($M$19=$Q$18),($M$19&lt;&gt;""))</formula>
    </cfRule>
    <cfRule type="expression" priority="59" stopIfTrue="1">
      <formula>$M$17=$Q$18</formula>
    </cfRule>
    <cfRule type="expression" dxfId="109" priority="60" stopIfTrue="1">
      <formula>AND(($N$18&lt;&gt;""),($M$19&lt;&gt;""))</formula>
    </cfRule>
  </conditionalFormatting>
  <conditionalFormatting sqref="E6 E10 E16 E20 I18 I14 I4 I8 O3 O5 O7 O9 O13 O15 O17 O19 S18 S14 S8 S4">
    <cfRule type="cellIs" dxfId="108" priority="61" stopIfTrue="1" operator="equal">
      <formula>"F"</formula>
    </cfRule>
    <cfRule type="cellIs" dxfId="10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A4" zoomScale="75" workbookViewId="0">
      <selection activeCell="U5" sqref="U5"/>
    </sheetView>
  </sheetViews>
  <sheetFormatPr baseColWidth="10" defaultRowHeight="14.1" customHeight="1" x14ac:dyDescent="0.2"/>
  <cols>
    <col min="1" max="1" width="10.5703125" style="80" customWidth="1"/>
    <col min="2" max="2" width="18.7109375" style="80" customWidth="1"/>
    <col min="3" max="3" width="5.28515625" style="80" bestFit="1" customWidth="1"/>
    <col min="4" max="4" width="3.42578125" style="80" bestFit="1" customWidth="1"/>
    <col min="5" max="5" width="3" style="139" customWidth="1"/>
    <col min="6" max="6" width="18.7109375" style="140" customWidth="1"/>
    <col min="7" max="7" width="4.7109375" style="140" customWidth="1"/>
    <col min="8" max="8" width="3.42578125" style="140" customWidth="1"/>
    <col min="9" max="9" width="3" style="139" customWidth="1"/>
    <col min="10" max="10" width="21.85546875" style="140" bestFit="1" customWidth="1"/>
    <col min="11" max="11" width="4.7109375" style="140" customWidth="1"/>
    <col min="12" max="12" width="4.140625" style="141" customWidth="1"/>
    <col min="13" max="13" width="21.85546875" style="140" bestFit="1" customWidth="1"/>
    <col min="14" max="14" width="4.7109375" style="140" customWidth="1"/>
    <col min="15" max="15" width="3" style="139" customWidth="1"/>
    <col min="16" max="16" width="3.42578125" style="140" customWidth="1"/>
    <col min="17" max="17" width="18.7109375" style="140" customWidth="1"/>
    <col min="18" max="18" width="4.7109375" style="140" customWidth="1"/>
    <col min="19" max="19" width="3" style="139" customWidth="1"/>
    <col min="20" max="20" width="3.42578125" style="80" customWidth="1"/>
    <col min="21" max="21" width="18.7109375" style="80" customWidth="1"/>
    <col min="22" max="22" width="5.42578125" style="80" bestFit="1" customWidth="1"/>
    <col min="23" max="23" width="7.42578125" style="80" customWidth="1"/>
    <col min="24" max="24" width="4.7109375" style="80" customWidth="1"/>
    <col min="25" max="25" width="2.28515625" style="80" hidden="1" customWidth="1"/>
    <col min="26" max="26" width="18.7109375" style="80" hidden="1" customWidth="1"/>
    <col min="27" max="27" width="3.42578125" style="80" hidden="1" customWidth="1"/>
    <col min="28" max="28" width="18.7109375" style="81" hidden="1" customWidth="1"/>
    <col min="29" max="29" width="3" style="80" hidden="1" customWidth="1"/>
    <col min="30" max="30" width="2.85546875" style="80" hidden="1" customWidth="1"/>
    <col min="31" max="31" width="3" style="80" hidden="1" customWidth="1"/>
    <col min="32" max="32" width="2.85546875" style="80" hidden="1" customWidth="1"/>
    <col min="33" max="33" width="3" style="80" hidden="1" customWidth="1"/>
    <col min="34" max="34" width="2.85546875" style="80" hidden="1" customWidth="1"/>
    <col min="35" max="35" width="3" style="80" hidden="1" customWidth="1"/>
    <col min="36" max="36" width="2.85546875" style="80" hidden="1" customWidth="1"/>
    <col min="37" max="37" width="3" style="80" hidden="1" customWidth="1"/>
    <col min="38" max="38" width="2.85546875" style="80" hidden="1" customWidth="1"/>
    <col min="39" max="39" width="3" style="80" hidden="1" customWidth="1"/>
    <col min="40" max="40" width="2.85546875" style="80" hidden="1" customWidth="1"/>
    <col min="41" max="41" width="4.7109375" style="80" hidden="1" customWidth="1"/>
    <col min="42" max="42" width="3.42578125" style="80" hidden="1" customWidth="1"/>
    <col min="43" max="43" width="3.42578125" style="80" bestFit="1" customWidth="1"/>
    <col min="44" max="44" width="18.7109375" style="80" customWidth="1"/>
    <col min="45" max="45" width="4.7109375" style="80" customWidth="1"/>
    <col min="46" max="46" width="3.42578125" style="80" bestFit="1" customWidth="1"/>
    <col min="47" max="16384" width="11.42578125" style="80"/>
  </cols>
  <sheetData>
    <row r="1" spans="1:46" ht="30" customHeight="1" thickTop="1" thickBot="1" x14ac:dyDescent="0.25">
      <c r="A1" s="75"/>
      <c r="B1" s="76"/>
      <c r="C1" s="76"/>
      <c r="D1" s="76"/>
      <c r="E1" s="77"/>
      <c r="F1" s="78"/>
      <c r="G1" s="78"/>
      <c r="H1" s="78"/>
      <c r="I1" s="77"/>
      <c r="J1" s="207" t="s">
        <v>73</v>
      </c>
      <c r="K1" s="207"/>
      <c r="L1" s="207"/>
      <c r="M1" s="207"/>
      <c r="N1" s="207"/>
      <c r="O1" s="207"/>
      <c r="P1" s="207"/>
      <c r="Q1" s="207"/>
      <c r="R1" s="207"/>
      <c r="S1" s="77"/>
      <c r="T1" s="76"/>
      <c r="U1" s="76"/>
      <c r="V1" s="76"/>
      <c r="W1" s="79"/>
    </row>
    <row r="2" spans="1:46" ht="30" customHeight="1" x14ac:dyDescent="0.2">
      <c r="A2" s="82"/>
      <c r="E2" s="83"/>
      <c r="F2" s="84"/>
      <c r="G2" s="84"/>
      <c r="H2" s="84"/>
      <c r="I2" s="83"/>
      <c r="J2" s="85"/>
      <c r="K2" s="85"/>
      <c r="L2" s="85"/>
      <c r="M2" s="85"/>
      <c r="N2" s="85"/>
      <c r="O2" s="85"/>
      <c r="P2" s="85"/>
      <c r="Q2" s="85"/>
      <c r="R2" s="85"/>
      <c r="S2" s="83"/>
      <c r="T2" s="86"/>
      <c r="U2" s="86"/>
      <c r="V2" s="86"/>
      <c r="W2" s="87"/>
      <c r="AQ2" s="208" t="s">
        <v>37</v>
      </c>
      <c r="AR2" s="209"/>
      <c r="AS2" s="209"/>
      <c r="AT2" s="210"/>
    </row>
    <row r="3" spans="1:46" ht="30" customHeight="1" thickBot="1" x14ac:dyDescent="0.25">
      <c r="A3" s="82"/>
      <c r="E3" s="83"/>
      <c r="F3" s="84"/>
      <c r="G3" s="84"/>
      <c r="H3" s="84"/>
      <c r="I3" s="83"/>
      <c r="J3" s="88"/>
      <c r="K3" s="84" t="s">
        <v>0</v>
      </c>
      <c r="L3" s="89">
        <v>3</v>
      </c>
      <c r="M3" s="68" t="str">
        <f>IF(IF(ISNA(VLOOKUP(L3,Inscrits!$A$2:$C$33,2,FALSE)),"",VLOOKUP(L3,Inscrits!$A$2:$C$33,2,FALSE))=0,"",IF(ISNA(VLOOKUP(L3,Inscrits!$A$2:$C$33,2,FALSE)),"",VLOOKUP(L3,Inscrits!$A$2:$C$33,2,FALSE)))</f>
        <v>BONTOUX Sylvie</v>
      </c>
      <c r="N3" s="69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90"/>
      <c r="P3" s="91"/>
      <c r="Q3" s="92" t="s">
        <v>1</v>
      </c>
      <c r="R3" s="84"/>
      <c r="S3" s="83"/>
      <c r="T3" s="86"/>
      <c r="U3" s="86"/>
      <c r="V3" s="86"/>
      <c r="W3" s="87"/>
      <c r="AC3" s="93" t="s">
        <v>2</v>
      </c>
      <c r="AD3" s="93" t="s">
        <v>3</v>
      </c>
      <c r="AE3" s="93" t="s">
        <v>2</v>
      </c>
      <c r="AF3" s="93" t="s">
        <v>3</v>
      </c>
      <c r="AG3" s="93" t="s">
        <v>2</v>
      </c>
      <c r="AH3" s="93" t="s">
        <v>3</v>
      </c>
      <c r="AI3" s="93" t="s">
        <v>2</v>
      </c>
      <c r="AJ3" s="93" t="s">
        <v>3</v>
      </c>
      <c r="AK3" s="93" t="s">
        <v>2</v>
      </c>
      <c r="AL3" s="93" t="s">
        <v>3</v>
      </c>
      <c r="AM3" s="93" t="s">
        <v>2</v>
      </c>
      <c r="AN3" s="93" t="s">
        <v>3</v>
      </c>
      <c r="AO3" s="93" t="s">
        <v>4</v>
      </c>
      <c r="AQ3" s="94"/>
      <c r="AR3" s="95" t="s">
        <v>5</v>
      </c>
      <c r="AS3" s="96" t="s">
        <v>4</v>
      </c>
      <c r="AT3" s="97"/>
    </row>
    <row r="4" spans="1:46" ht="30" customHeight="1" thickTop="1" x14ac:dyDescent="0.2">
      <c r="A4" s="82"/>
      <c r="E4" s="83"/>
      <c r="F4" s="84"/>
      <c r="G4" s="84"/>
      <c r="H4" s="98"/>
      <c r="I4" s="99"/>
      <c r="J4" s="68" t="str">
        <f>IF(OR(AND(O3="F",O5="F"),AND(O3="A",O5="A")),M5,IF(OR(O3="F",O3="A"),M3,IF(OR(O5="F",O5="A"),M5,IF(O3=O5,"",(IF(O3&lt;O5,M3,M5))))))</f>
        <v/>
      </c>
      <c r="K4" s="69" t="str">
        <f>IF(OR(AND(O3="F",O5="F"),AND(O3="A",O5="A")),N5,IF(OR(O3="F",O3="A"),N3,IF(OR(O5="F",O5="A"),N5,IF(O3=O5,"",(IF(O3&lt;O5,N3,N5))))))</f>
        <v/>
      </c>
      <c r="L4" s="89"/>
      <c r="M4" s="100" t="s">
        <v>95</v>
      </c>
      <c r="N4" s="101"/>
      <c r="O4" s="102"/>
      <c r="P4" s="103"/>
      <c r="Q4" s="68" t="str">
        <f>IF(OR(AND(O3="F",O5="F"),AND(O3="A",O5="A")),M3,IF(OR(O3="F",O3="A"),M5,IF(OR(O5="F",O5="A"),M3,IF(O3=O5,"",(IF(O3&gt;O5,M3,M5))))))</f>
        <v/>
      </c>
      <c r="R4" s="69" t="str">
        <f>IF(OR(AND(O3="F",O5="F"),AND(O3="A",O5="A")),N3,IF(OR(O3="F",O3="A"),N5,IF(OR(O5="F",O5="A"),N3,IF(O3=O5,"",(IF(O3&gt;O5,N3,N5))))))</f>
        <v/>
      </c>
      <c r="S4" s="104"/>
      <c r="T4" s="105"/>
      <c r="U4" s="86"/>
      <c r="V4" s="86"/>
      <c r="W4" s="87"/>
      <c r="Y4" s="80">
        <v>1</v>
      </c>
      <c r="Z4" s="106" t="str">
        <f>IF(U6="","",IF(U6=Q4,Q4,Q8))</f>
        <v/>
      </c>
      <c r="AB4" s="107" t="str">
        <f>M3</f>
        <v>BONTOUX Sylvie</v>
      </c>
      <c r="AC4" s="108">
        <f>IF(AB4=M3,IF(O5="F","",O3),0)</f>
        <v>0</v>
      </c>
      <c r="AD4" s="108">
        <f>IF(AB4=M3,IF(O3="F","",O5),0)</f>
        <v>0</v>
      </c>
      <c r="AE4" s="109">
        <f>IF(AB4=Q4,IF(S8="F","",S4),0)</f>
        <v>0</v>
      </c>
      <c r="AF4" s="109">
        <f>IF(AB4=Q4,IF(S4="F","",S8),0)</f>
        <v>0</v>
      </c>
      <c r="AG4" s="108">
        <f>IF(AB4=J4,IF(I8="F","",I4),0)</f>
        <v>0</v>
      </c>
      <c r="AH4" s="108">
        <f>IF(AB4=J4,IF(I4="F","",I8),0)</f>
        <v>0</v>
      </c>
      <c r="AI4" s="109">
        <f>IF(AB4=F6,IF(E10="F","",E6),0)</f>
        <v>0</v>
      </c>
      <c r="AJ4" s="109">
        <f>IF(AB4=F6,IF(E6="F","",E10),0)</f>
        <v>0</v>
      </c>
      <c r="AK4" s="108">
        <f>IF(AB4=F20,IF(E16="F","",E20),0)</f>
        <v>0</v>
      </c>
      <c r="AL4" s="108">
        <f>IF(AB4=F20,IF(E20="F","",E16),0)</f>
        <v>0</v>
      </c>
      <c r="AM4" s="110">
        <f t="shared" ref="AM4:AN7" si="0">SUM(AC4,AE4,AG4,AI4,AK4)</f>
        <v>0</v>
      </c>
      <c r="AN4" s="110">
        <f t="shared" si="0"/>
        <v>0</v>
      </c>
      <c r="AO4" s="106">
        <f>AM4-AN4</f>
        <v>0</v>
      </c>
      <c r="AQ4" s="94"/>
      <c r="AR4" s="111" t="str">
        <f>Z4</f>
        <v/>
      </c>
      <c r="AS4" s="112" t="str">
        <f>IF(AR4="","",(VLOOKUP(AR4,AB4:AO17,14,FALSE)))</f>
        <v/>
      </c>
      <c r="AT4" s="97"/>
    </row>
    <row r="5" spans="1:46" ht="30" customHeight="1" thickBot="1" x14ac:dyDescent="0.25">
      <c r="A5" s="82"/>
      <c r="B5" s="86"/>
      <c r="C5" s="86"/>
      <c r="D5" s="86"/>
      <c r="E5" s="83"/>
      <c r="F5" s="88"/>
      <c r="G5" s="84" t="s">
        <v>31</v>
      </c>
      <c r="H5" s="84"/>
      <c r="I5" s="113"/>
      <c r="J5" s="84"/>
      <c r="K5" s="84"/>
      <c r="L5" s="89">
        <v>14</v>
      </c>
      <c r="M5" s="68" t="str">
        <f>IF(IF(ISNA(VLOOKUP(L5,Inscrits!$A$2:$C$33,2,FALSE)),"",VLOOKUP(L5,Inscrits!$A$2:$C$33,2,FALSE))=0,"",IF(ISNA(VLOOKUP(L5,Inscrits!$A$2:$C$33,2,FALSE)),"",VLOOKUP(L5,Inscrits!$A$2:$C$33,2,FALSE)))</f>
        <v>FESQUET Emilie</v>
      </c>
      <c r="N5" s="69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0"/>
      <c r="P5" s="91"/>
      <c r="Q5" s="84"/>
      <c r="R5" s="84"/>
      <c r="S5" s="83"/>
      <c r="T5" s="114"/>
      <c r="U5" s="115" t="s">
        <v>8</v>
      </c>
      <c r="V5" s="86"/>
      <c r="W5" s="87"/>
      <c r="Y5" s="80">
        <v>3</v>
      </c>
      <c r="Z5" s="106" t="str">
        <f>IF(B8="","",IF(B8=F6,F6,F10))</f>
        <v/>
      </c>
      <c r="AB5" s="107" t="str">
        <f>M5</f>
        <v>FESQUET Emilie</v>
      </c>
      <c r="AC5" s="108">
        <f>IF(AB5=M5,IF(O3="F","",O5),0)</f>
        <v>0</v>
      </c>
      <c r="AD5" s="108">
        <f>IF(AB5=M5,IF(O5="F","",O3),0)</f>
        <v>0</v>
      </c>
      <c r="AE5" s="109">
        <f>IF(AB5=Q4,IF(S8="F","",S4),0)</f>
        <v>0</v>
      </c>
      <c r="AF5" s="109">
        <f>IF(AB5=Q4,IF(S4="F","",S8),0)</f>
        <v>0</v>
      </c>
      <c r="AG5" s="108">
        <f>IF(AB5=J4,IF(I8="F","",I4),0)</f>
        <v>0</v>
      </c>
      <c r="AH5" s="108">
        <f>IF(AB5=J4,IF(I4="F","",I8),0)</f>
        <v>0</v>
      </c>
      <c r="AI5" s="109">
        <f>IF(AB5=F6,IF(E10="F","",E6),0)</f>
        <v>0</v>
      </c>
      <c r="AJ5" s="109">
        <f>IF(AB5=F6,IF(E6="F","",E10),0)</f>
        <v>0</v>
      </c>
      <c r="AK5" s="108">
        <f>IF(AB5=F20,IF(E16="F","",E20),0)</f>
        <v>0</v>
      </c>
      <c r="AL5" s="108">
        <f>IF(AB5=F20,IF(E20="F","",E16),0)</f>
        <v>0</v>
      </c>
      <c r="AM5" s="110">
        <f t="shared" si="0"/>
        <v>0</v>
      </c>
      <c r="AN5" s="110">
        <f t="shared" si="0"/>
        <v>0</v>
      </c>
      <c r="AO5" s="106">
        <f>AM5-AN5</f>
        <v>0</v>
      </c>
      <c r="AQ5" s="94"/>
      <c r="AR5" s="116" t="str">
        <f>Z14</f>
        <v/>
      </c>
      <c r="AS5" s="117" t="str">
        <f>IF(AR5="","",(VLOOKUP(AR5,AB4:AO17,14,FALSE)))</f>
        <v/>
      </c>
      <c r="AT5" s="97"/>
    </row>
    <row r="6" spans="1:46" ht="30" customHeight="1" thickBot="1" x14ac:dyDescent="0.25">
      <c r="A6" s="82"/>
      <c r="B6" s="86"/>
      <c r="C6" s="86"/>
      <c r="D6" s="118"/>
      <c r="E6" s="99"/>
      <c r="F6" s="68" t="str">
        <f>IF(OR(I4="F",I4="A"),J8,IF(OR(I8="F",I8="A"),J4,IF(I4=I8,"",(IF(I4&gt;I8,J4,J8)))))</f>
        <v/>
      </c>
      <c r="G6" s="69" t="str">
        <f>IF(OR(I4="F",I4="A"),K8,IF(OR(I8="F",I8="A"),K4,IF(I4=I8,"",(IF(I4&gt;I8,K4,K8)))))</f>
        <v/>
      </c>
      <c r="H6" s="84"/>
      <c r="I6" s="113"/>
      <c r="J6" s="100" t="s">
        <v>101</v>
      </c>
      <c r="K6" s="101"/>
      <c r="L6" s="89"/>
      <c r="M6" s="84"/>
      <c r="N6" s="84"/>
      <c r="O6" s="83"/>
      <c r="P6" s="84"/>
      <c r="Q6" s="100" t="s">
        <v>99</v>
      </c>
      <c r="R6" s="101"/>
      <c r="S6" s="83"/>
      <c r="T6" s="119"/>
      <c r="U6" s="68" t="str">
        <f>IF(OR(S4="F",S4="A"),Q8,IF(OR(S8="F",S8="A"),Q4,IF(S4=S8,"",(IF(S4&gt;S8,Q4,Q8)))))</f>
        <v/>
      </c>
      <c r="V6" s="219" t="str">
        <f>IF(OR(S4="F",S4="A"),R8,IF(OR(S8="F",S8="A"),R4,IF(S4=S8,"",(IF(S4&gt;S8,R4,R8)))))</f>
        <v/>
      </c>
      <c r="W6" s="220" t="s">
        <v>57</v>
      </c>
      <c r="Y6" s="80">
        <v>5</v>
      </c>
      <c r="Z6" s="106" t="str">
        <f>IF(B8="","",IF(B8=F6,F10,F6))</f>
        <v/>
      </c>
      <c r="AB6" s="107" t="str">
        <f>M7</f>
        <v>PAPIN Laetitia</v>
      </c>
      <c r="AC6" s="108">
        <f>IF(AB6=M7,IF(O9="F","",O7),0)</f>
        <v>0</v>
      </c>
      <c r="AD6" s="108">
        <f>IF(AB6=M7,IF(O7="F","",O9),0)</f>
        <v>0</v>
      </c>
      <c r="AE6" s="109">
        <f>IF(AB6=Q8,IF(S4="F","",S8),0)</f>
        <v>0</v>
      </c>
      <c r="AF6" s="109">
        <f>IF(AB6=Q8,IF(S8="F","",S4),0)</f>
        <v>0</v>
      </c>
      <c r="AG6" s="108">
        <f>IF(AB6=J8,IF(I4="F","",I8),0)</f>
        <v>0</v>
      </c>
      <c r="AH6" s="108">
        <f>IF(AB6=J8,IF(I8="F","",I4),0)</f>
        <v>0</v>
      </c>
      <c r="AI6" s="109">
        <f>IF(AB6=F6,IF(E10="F","",E6),0)</f>
        <v>0</v>
      </c>
      <c r="AJ6" s="109">
        <f>IF(AB6=F6,IF(E6="F","",E10),0)</f>
        <v>0</v>
      </c>
      <c r="AK6" s="108">
        <f>IF(AB6=F20,IF(E16="F","",E20),0)</f>
        <v>0</v>
      </c>
      <c r="AL6" s="108">
        <f>IF(AB6=F20,IF(E20="F","",E16),0)</f>
        <v>0</v>
      </c>
      <c r="AM6" s="110">
        <f t="shared" si="0"/>
        <v>0</v>
      </c>
      <c r="AN6" s="110">
        <f t="shared" si="0"/>
        <v>0</v>
      </c>
      <c r="AO6" s="106">
        <f>AM6-AN6</f>
        <v>0</v>
      </c>
      <c r="AQ6" s="94"/>
      <c r="AR6" s="116" t="str">
        <f>Z5</f>
        <v/>
      </c>
      <c r="AS6" s="117" t="str">
        <f>IF(AR6="","",(VLOOKUP(AR6,AB4:AO17,14,FALSE)))</f>
        <v/>
      </c>
      <c r="AT6" s="97"/>
    </row>
    <row r="7" spans="1:46" ht="30" customHeight="1" thickBot="1" x14ac:dyDescent="0.25">
      <c r="A7" s="82"/>
      <c r="B7" s="120"/>
      <c r="C7" s="86" t="s">
        <v>35</v>
      </c>
      <c r="D7" s="86"/>
      <c r="E7" s="113"/>
      <c r="F7" s="84"/>
      <c r="G7" s="84"/>
      <c r="H7" s="84"/>
      <c r="I7" s="113"/>
      <c r="J7" s="84"/>
      <c r="K7" s="84"/>
      <c r="L7" s="89">
        <v>11</v>
      </c>
      <c r="M7" s="68" t="str">
        <f>IF(IF(ISNA(VLOOKUP(L7,Inscrits!$A$2:$C$33,2,FALSE)),"",VLOOKUP(L7,Inscrits!$A$2:$C$33,2,FALSE))=0,"",IF(ISNA(VLOOKUP(L7,Inscrits!$A$2:$C$33,2,FALSE)),"",VLOOKUP(L7,Inscrits!$A$2:$C$33,2,FALSE)))</f>
        <v>PAPIN Laetitia</v>
      </c>
      <c r="N7" s="69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0"/>
      <c r="P7" s="91"/>
      <c r="Q7" s="84"/>
      <c r="R7" s="84"/>
      <c r="S7" s="83"/>
      <c r="T7" s="114"/>
      <c r="U7" s="86"/>
      <c r="V7" s="86"/>
      <c r="W7" s="87"/>
      <c r="Y7" s="80">
        <v>7</v>
      </c>
      <c r="Z7" s="106" t="str">
        <f>IF(F6="","",IF(F6=J4,J8,J4))</f>
        <v/>
      </c>
      <c r="AB7" s="107" t="str">
        <f>M9</f>
        <v>SOCKEEL Marie-Pierre</v>
      </c>
      <c r="AC7" s="108">
        <f>IF(AB7=M9,IF(O7="F","",O9),0)</f>
        <v>0</v>
      </c>
      <c r="AD7" s="108">
        <f>IF(AB7=M9,IF(O9="F","",O7),0)</f>
        <v>0</v>
      </c>
      <c r="AE7" s="109">
        <f>IF(AB7=Q8,IF(S4="F","",S8),0)</f>
        <v>0</v>
      </c>
      <c r="AF7" s="109">
        <f>IF(AB7=Q8,IF(S8="F","",S4),0)</f>
        <v>0</v>
      </c>
      <c r="AG7" s="108">
        <f>IF(AB7=J8,IF(I4="F","",I8),0)</f>
        <v>0</v>
      </c>
      <c r="AH7" s="108">
        <f>IF(AB7=J8,IF(I8="F","",I4),0)</f>
        <v>0</v>
      </c>
      <c r="AI7" s="109">
        <f>IF(AB7=F6,IF(E10="F","",E6),0)</f>
        <v>0</v>
      </c>
      <c r="AJ7" s="109">
        <f>IF(AB7=F6,IF(E6="F","",E10),0)</f>
        <v>0</v>
      </c>
      <c r="AK7" s="108">
        <f>IF(AB7=F20,IF(E16="F","",E20),0)</f>
        <v>0</v>
      </c>
      <c r="AL7" s="108">
        <f>IF(AB7=F20,IF(E20="F","",E16),0)</f>
        <v>0</v>
      </c>
      <c r="AM7" s="110">
        <f t="shared" si="0"/>
        <v>0</v>
      </c>
      <c r="AN7" s="110">
        <f t="shared" si="0"/>
        <v>0</v>
      </c>
      <c r="AO7" s="106">
        <f>AM7-AN7</f>
        <v>0</v>
      </c>
      <c r="AQ7" s="94"/>
      <c r="AR7" s="116" t="str">
        <f>Z15</f>
        <v/>
      </c>
      <c r="AS7" s="117" t="str">
        <f>IF(AR7="","",(VLOOKUP(AR7,AB4:AO17,14,FALSE)))</f>
        <v/>
      </c>
      <c r="AT7" s="97"/>
    </row>
    <row r="8" spans="1:46" ht="30" customHeight="1" thickBot="1" x14ac:dyDescent="0.25">
      <c r="A8" s="218" t="s">
        <v>160</v>
      </c>
      <c r="B8" s="217" t="str">
        <f>IF(OR(E6="F",E6="A"),F10,IF(OR(E10="F",E10="A"),F6,IF(E6=E10,"",(IF(E6&gt;E10,F6,F10)))))</f>
        <v/>
      </c>
      <c r="C8" s="121" t="str">
        <f>IF(OR(E6="F",E6="A"),G10,IF(OR(E10="F",E10="A"),G6,IF(E6=E10,"",(IF(E6&gt;E10,G6,G10)))))</f>
        <v/>
      </c>
      <c r="D8" s="86"/>
      <c r="E8" s="113"/>
      <c r="F8" s="100" t="s">
        <v>103</v>
      </c>
      <c r="G8" s="101"/>
      <c r="H8" s="98"/>
      <c r="I8" s="99"/>
      <c r="J8" s="68" t="str">
        <f>IF(OR(AND(O7="F",O9="F"),AND(O7="A",O9="A")),M9,IF(OR(O7="F",O7="A"),M7,IF(OR(O9="F",O9="A"),M9,IF(O7=O9,"",(IF(O7&lt;O9,M7,M9))))))</f>
        <v/>
      </c>
      <c r="K8" s="69" t="str">
        <f>IF(OR(AND(O7="F",O9="F"),AND(O7="A",O9="A")),N9,IF(OR(O7="F",O7="A"),N7,IF(OR(O9="F",O9="A"),N9,IF(O7=O9,"",(IF(O7&lt;O9,N7,N9))))))</f>
        <v/>
      </c>
      <c r="L8" s="89"/>
      <c r="M8" s="100" t="s">
        <v>96</v>
      </c>
      <c r="N8" s="101"/>
      <c r="O8" s="102"/>
      <c r="P8" s="122"/>
      <c r="Q8" s="68" t="str">
        <f>IF(OR(AND(O7="F",O9="F"),AND(O7="A",O9="A")),M7,IF(OR(O7="F",O7="A"),M9,IF(OR(O9="F",O9="A"),M7,IF(O7=O9,"",(IF(O7&gt;O9,M7,M9))))))</f>
        <v/>
      </c>
      <c r="R8" s="69" t="str">
        <f>IF(OR(AND(O7="F",O9="F"),AND(O7="A",O9="A")),N7,IF(OR(O7="F",O7="A"),N9,IF(OR(O9="F",O9="A"),N7,IF(O7=O9,"",(IF(O7&gt;O9,N7,N9))))))</f>
        <v/>
      </c>
      <c r="S8" s="104"/>
      <c r="T8" s="105"/>
      <c r="U8" s="86"/>
      <c r="V8" s="86"/>
      <c r="W8" s="87"/>
      <c r="AQ8" s="123"/>
      <c r="AR8" s="124"/>
      <c r="AS8" s="124"/>
      <c r="AT8" s="125"/>
    </row>
    <row r="9" spans="1:46" ht="30" customHeight="1" x14ac:dyDescent="0.2">
      <c r="A9" s="82"/>
      <c r="B9" s="86"/>
      <c r="C9" s="86"/>
      <c r="D9" s="86"/>
      <c r="E9" s="113"/>
      <c r="F9" s="84"/>
      <c r="G9" s="84"/>
      <c r="H9" s="84"/>
      <c r="I9" s="83"/>
      <c r="J9" s="88"/>
      <c r="K9" s="84" t="s">
        <v>9</v>
      </c>
      <c r="L9" s="89">
        <v>6</v>
      </c>
      <c r="M9" s="68" t="str">
        <f>IF(IF(ISNA(VLOOKUP(L9,Inscrits!$A$2:$C$33,2,FALSE)),"",VLOOKUP(L9,Inscrits!$A$2:$C$33,2,FALSE))=0,"",IF(ISNA(VLOOKUP(L9,Inscrits!$A$2:$C$33,2,FALSE)),"",VLOOKUP(L9,Inscrits!$A$2:$C$33,2,FALSE)))</f>
        <v>SOCKEEL Marie-Pierre</v>
      </c>
      <c r="N9" s="69" t="str">
        <f>IF(IF(ISNA(VLOOKUP(L9,Inscrits!$A$2:$C$33,3,FALSE)),"","("&amp;(VLOOKUP(L9,Inscrits!$A$2:$C$33,3,FALSE))&amp;")")="()","",IF(ISNA(VLOOKUP(L9,Inscrits!$A$2:$C$33,3,FALSE)),"","("&amp;(VLOOKUP(L9,Inscrits!$A$2:$C$33,3,FALSE))&amp;")"))</f>
        <v>(8)</v>
      </c>
      <c r="O9" s="90"/>
      <c r="P9" s="91"/>
      <c r="Q9" s="92" t="s">
        <v>10</v>
      </c>
      <c r="R9" s="84"/>
      <c r="S9" s="83"/>
      <c r="T9" s="86"/>
      <c r="U9" s="86"/>
      <c r="V9" s="86"/>
      <c r="W9" s="87"/>
    </row>
    <row r="10" spans="1:46" ht="30" customHeight="1" x14ac:dyDescent="0.2">
      <c r="A10" s="82"/>
      <c r="B10" s="86"/>
      <c r="C10" s="86"/>
      <c r="D10" s="118"/>
      <c r="E10" s="99"/>
      <c r="F10" s="68" t="str">
        <f>IF(OR(S14="F",S14="A"),Q14,IF(OR(S18="F",S18="A"),Q18,IF(S14=S18,"",(IF(S14&lt;S18,Q14,Q18)))))</f>
        <v/>
      </c>
      <c r="G10" s="69" t="str">
        <f>IF(OR(S14="F",S14="A"),R14,IF(OR(S18="F",S18="A"),R18,IF(S14=S18,"",(IF(S14&lt;S18,R14,R18)))))</f>
        <v/>
      </c>
      <c r="H10" s="84"/>
      <c r="I10" s="83"/>
      <c r="J10" s="84"/>
      <c r="K10" s="84"/>
      <c r="L10" s="89"/>
      <c r="M10" s="84"/>
      <c r="N10" s="84"/>
      <c r="O10" s="83"/>
      <c r="P10" s="84"/>
      <c r="Q10" s="84"/>
      <c r="R10" s="84"/>
      <c r="S10" s="83"/>
      <c r="T10" s="86"/>
      <c r="W10" s="87"/>
    </row>
    <row r="11" spans="1:46" ht="30" customHeight="1" thickBot="1" x14ac:dyDescent="0.25">
      <c r="A11" s="82"/>
      <c r="B11" s="86"/>
      <c r="C11" s="86"/>
      <c r="D11" s="86"/>
      <c r="E11" s="83"/>
      <c r="F11" s="88"/>
      <c r="G11" s="84" t="s">
        <v>33</v>
      </c>
      <c r="H11" s="84"/>
      <c r="I11" s="83"/>
      <c r="J11" s="84"/>
      <c r="K11" s="84"/>
      <c r="L11" s="89"/>
      <c r="M11" s="84"/>
      <c r="N11" s="84"/>
      <c r="O11" s="83"/>
      <c r="P11" s="84"/>
      <c r="Q11" s="84"/>
      <c r="R11" s="84"/>
      <c r="S11" s="83"/>
      <c r="T11" s="86"/>
      <c r="U11" s="205" t="s">
        <v>37</v>
      </c>
      <c r="V11" s="206"/>
      <c r="W11" s="87"/>
    </row>
    <row r="12" spans="1:46" ht="30" customHeight="1" x14ac:dyDescent="0.2">
      <c r="A12" s="82"/>
      <c r="E12" s="83"/>
      <c r="F12" s="84"/>
      <c r="G12" s="84"/>
      <c r="H12" s="84"/>
      <c r="I12" s="83"/>
      <c r="J12" s="84"/>
      <c r="K12" s="84"/>
      <c r="L12" s="89"/>
      <c r="M12" s="84"/>
      <c r="N12" s="84"/>
      <c r="O12" s="83"/>
      <c r="P12" s="84"/>
      <c r="Q12" s="84"/>
      <c r="R12" s="84"/>
      <c r="S12" s="83"/>
      <c r="T12" s="86"/>
      <c r="U12" s="86"/>
      <c r="V12" s="86"/>
      <c r="W12" s="87"/>
      <c r="AQ12" s="208" t="s">
        <v>38</v>
      </c>
      <c r="AR12" s="209"/>
      <c r="AS12" s="209"/>
      <c r="AT12" s="210"/>
    </row>
    <row r="13" spans="1:46" ht="30" customHeight="1" thickBot="1" x14ac:dyDescent="0.25">
      <c r="A13" s="82"/>
      <c r="B13" s="205" t="s">
        <v>37</v>
      </c>
      <c r="C13" s="206"/>
      <c r="E13" s="83"/>
      <c r="F13" s="84"/>
      <c r="G13" s="84"/>
      <c r="H13" s="84"/>
      <c r="I13" s="83"/>
      <c r="J13" s="88"/>
      <c r="K13" s="88" t="s">
        <v>11</v>
      </c>
      <c r="L13" s="89">
        <v>7</v>
      </c>
      <c r="M13" s="68" t="str">
        <f>IF(IF(ISNA(VLOOKUP(L13,Inscrits!$A$2:$C$33,2,FALSE)),"",VLOOKUP(L13,Inscrits!$A$2:$C$33,2,FALSE))=0,"",IF(ISNA(VLOOKUP(L13,Inscrits!$A$2:$C$33,2,FALSE)),"",VLOOKUP(L13,Inscrits!$A$2:$C$33,2,FALSE)))</f>
        <v>ANDRIAMPININA Nomena</v>
      </c>
      <c r="N13" s="69" t="str">
        <f>IF(IF(ISNA(VLOOKUP(L13,Inscrits!$A$2:$C$33,3,FALSE)),"","("&amp;(VLOOKUP(L13,Inscrits!$A$2:$C$33,3,FALSE))&amp;")")="()","",IF(ISNA(VLOOKUP(L13,Inscrits!$A$2:$C$33,3,FALSE)),"","("&amp;(VLOOKUP(L13,Inscrits!$A$2:$C$33,3,FALSE))&amp;")"))</f>
        <v>(10)</v>
      </c>
      <c r="O13" s="90" t="s">
        <v>50</v>
      </c>
      <c r="P13" s="91"/>
      <c r="Q13" s="92" t="s">
        <v>7</v>
      </c>
      <c r="R13" s="84"/>
      <c r="S13" s="83"/>
      <c r="T13" s="86"/>
      <c r="U13" s="86"/>
      <c r="V13" s="86"/>
      <c r="W13" s="87"/>
      <c r="AC13" s="93" t="s">
        <v>2</v>
      </c>
      <c r="AD13" s="93" t="s">
        <v>3</v>
      </c>
      <c r="AE13" s="93" t="s">
        <v>2</v>
      </c>
      <c r="AF13" s="93" t="s">
        <v>3</v>
      </c>
      <c r="AG13" s="93" t="s">
        <v>2</v>
      </c>
      <c r="AH13" s="93" t="s">
        <v>3</v>
      </c>
      <c r="AI13" s="93" t="s">
        <v>2</v>
      </c>
      <c r="AJ13" s="93" t="s">
        <v>3</v>
      </c>
      <c r="AK13" s="93" t="s">
        <v>2</v>
      </c>
      <c r="AL13" s="93" t="s">
        <v>3</v>
      </c>
      <c r="AM13" s="93" t="s">
        <v>2</v>
      </c>
      <c r="AN13" s="93" t="s">
        <v>3</v>
      </c>
      <c r="AO13" s="93" t="s">
        <v>4</v>
      </c>
      <c r="AQ13" s="126"/>
      <c r="AR13" s="127" t="s">
        <v>5</v>
      </c>
      <c r="AS13" s="128" t="s">
        <v>4</v>
      </c>
      <c r="AT13" s="129"/>
    </row>
    <row r="14" spans="1:46" ht="30" customHeight="1" thickTop="1" x14ac:dyDescent="0.2">
      <c r="A14" s="82"/>
      <c r="E14" s="83"/>
      <c r="F14" s="84"/>
      <c r="G14" s="84"/>
      <c r="H14" s="98"/>
      <c r="I14" s="99" t="s">
        <v>50</v>
      </c>
      <c r="J14" s="68" t="str">
        <f>IF(OR(AND(O13="F",O15="F"),AND(O13="A",O15="A")),M15,IF(OR(O13="F",O13="A"),M13,IF(OR(O15="F",O15="A"),M15,IF(O13=O15,"",(IF(O13&lt;O15,M13,M15))))))</f>
        <v>ANDRIAMPININA Nomena</v>
      </c>
      <c r="K14" s="69" t="str">
        <f>IF(OR(AND(O13="F",O15="F"),AND(O13="A",O15="A")),N15,IF(OR(O13="F",O13="A"),N13,IF(OR(O15="F",O15="A"),N15,IF(O13=O15,"",(IF(O13&lt;O15,N13,N15))))))</f>
        <v>(10)</v>
      </c>
      <c r="L14" s="89"/>
      <c r="M14" s="100" t="s">
        <v>97</v>
      </c>
      <c r="N14" s="101"/>
      <c r="O14" s="102"/>
      <c r="P14" s="103"/>
      <c r="Q14" s="68" t="str">
        <f>IF(OR(AND(O13="F",O15="F"),AND(O13="A",O15="A")),M13,IF(OR(O13="F",O13="A"),M15,IF(OR(O15="F",O15="A"),M13,IF(O13=O15,"",(IF(O13&gt;O15,M13,M15))))))</f>
        <v>RIZZA Magalie</v>
      </c>
      <c r="R14" s="69" t="str">
        <f>IF(OR(AND(O13="F",O15="F"),AND(O13="A",O15="A")),N13,IF(OR(O13="F",O13="A"),N15,IF(OR(O15="F",O15="A"),N13,IF(O13=O15,"",(IF(O13&gt;O15,N13,N15))))))</f>
        <v>(20)</v>
      </c>
      <c r="S14" s="104"/>
      <c r="T14" s="105"/>
      <c r="U14" s="86"/>
      <c r="V14" s="86"/>
      <c r="W14" s="87"/>
      <c r="Y14" s="80">
        <v>2</v>
      </c>
      <c r="Z14" s="106" t="str">
        <f>IF(U16="","",IF(U16=Q14,Q14,Q18))</f>
        <v/>
      </c>
      <c r="AB14" s="107" t="str">
        <f>M13</f>
        <v>ANDRIAMPININA Nomena</v>
      </c>
      <c r="AC14" s="108" t="str">
        <f>IF(AB14=M13,IF(O15="F","",O13),0)</f>
        <v>F</v>
      </c>
      <c r="AD14" s="108" t="str">
        <f>IF(AB14=M13,IF(O13="F","",O15),0)</f>
        <v/>
      </c>
      <c r="AE14" s="109">
        <f>IF(AB14=Q14,IF(S18="F","",S14),0)</f>
        <v>0</v>
      </c>
      <c r="AF14" s="109">
        <f>IF(AB14=Q14,IF(S14="F","",S18),0)</f>
        <v>0</v>
      </c>
      <c r="AG14" s="108" t="str">
        <f>IF(AB14=J14,IF(I18="F","",I14),0)</f>
        <v>F</v>
      </c>
      <c r="AH14" s="108" t="str">
        <f>IF(AB14=J14,IF(I14="F","",I18),0)</f>
        <v/>
      </c>
      <c r="AI14" s="109">
        <f>IF(AB14=F16,IF(E20="F","",E16),0)</f>
        <v>0</v>
      </c>
      <c r="AJ14" s="109">
        <f>IF(AB14=F16,IF(E16="F","",E20),0)</f>
        <v>0</v>
      </c>
      <c r="AK14" s="108">
        <f>IF(AB14=F10,IF(E6="F","",E10),0)</f>
        <v>0</v>
      </c>
      <c r="AL14" s="108">
        <f>IF(AB14=F10,IF(E10="F","",E6),0)</f>
        <v>0</v>
      </c>
      <c r="AM14" s="110">
        <f t="shared" ref="AM14:AN17" si="1">SUM(AC14,AE14,AG14,AI14,AK14)</f>
        <v>0</v>
      </c>
      <c r="AN14" s="110">
        <f t="shared" si="1"/>
        <v>0</v>
      </c>
      <c r="AO14" s="106">
        <f>AM14-AN14</f>
        <v>0</v>
      </c>
      <c r="AQ14" s="126"/>
      <c r="AR14" s="111" t="str">
        <f>Z6</f>
        <v/>
      </c>
      <c r="AS14" s="112" t="str">
        <f>IF(AR14="","",(VLOOKUP(AR14,AB4:AO17,14,FALSE)))</f>
        <v/>
      </c>
      <c r="AT14" s="129"/>
    </row>
    <row r="15" spans="1:46" ht="30" customHeight="1" thickBot="1" x14ac:dyDescent="0.25">
      <c r="A15" s="82"/>
      <c r="B15" s="86"/>
      <c r="C15" s="86"/>
      <c r="D15" s="86"/>
      <c r="E15" s="83"/>
      <c r="F15" s="88"/>
      <c r="G15" s="84" t="s">
        <v>32</v>
      </c>
      <c r="H15" s="84"/>
      <c r="I15" s="113"/>
      <c r="J15" s="84"/>
      <c r="K15" s="84"/>
      <c r="L15" s="89">
        <v>10</v>
      </c>
      <c r="M15" s="68" t="str">
        <f>IF(IF(ISNA(VLOOKUP(L15,Inscrits!$A$2:$C$33,2,FALSE)),"",VLOOKUP(L15,Inscrits!$A$2:$C$33,2,FALSE))=0,"",IF(ISNA(VLOOKUP(L15,Inscrits!$A$2:$C$33,2,FALSE)),"",VLOOKUP(L15,Inscrits!$A$2:$C$33,2,FALSE)))</f>
        <v>RIZZA Magalie</v>
      </c>
      <c r="N15" s="69" t="str">
        <f>IF(IF(ISNA(VLOOKUP(L15,Inscrits!$A$2:$C$33,3,FALSE)),"","("&amp;(VLOOKUP(L15,Inscrits!$A$2:$C$33,3,FALSE))&amp;")")="()","",IF(ISNA(VLOOKUP(L15,Inscrits!$A$2:$C$33,3,FALSE)),"","("&amp;(VLOOKUP(L15,Inscrits!$A$2:$C$33,3,FALSE))&amp;")"))</f>
        <v>(20)</v>
      </c>
      <c r="O15" s="90"/>
      <c r="P15" s="91"/>
      <c r="Q15" s="84"/>
      <c r="R15" s="84"/>
      <c r="S15" s="83"/>
      <c r="T15" s="114"/>
      <c r="U15" s="115" t="s">
        <v>30</v>
      </c>
      <c r="V15" s="86"/>
      <c r="W15" s="87"/>
      <c r="Y15" s="80">
        <v>4</v>
      </c>
      <c r="Z15" s="106" t="str">
        <f>IF(B18="","",IF(B18=F16,F16,F20))</f>
        <v/>
      </c>
      <c r="AB15" s="107" t="str">
        <f>M15</f>
        <v>RIZZA Magalie</v>
      </c>
      <c r="AC15" s="108" t="str">
        <f>IF(AB15=M15,IF(O13="F","",O15),0)</f>
        <v/>
      </c>
      <c r="AD15" s="108" t="str">
        <f>IF(AB15=M15,IF(O15="F","",O13),0)</f>
        <v>F</v>
      </c>
      <c r="AE15" s="109">
        <f>IF(AB15=Q14,IF(S18="F","",S14),0)</f>
        <v>0</v>
      </c>
      <c r="AF15" s="109">
        <f>IF(AB15=Q14,IF(S14="F","",S18),0)</f>
        <v>0</v>
      </c>
      <c r="AG15" s="108">
        <f>IF(AB15=J14,IF(I18="F","",I14),0)</f>
        <v>0</v>
      </c>
      <c r="AH15" s="108">
        <f>IF(AB15=J14,IF(I14="F","",I18),0)</f>
        <v>0</v>
      </c>
      <c r="AI15" s="109">
        <f>IF(AB15=F16,IF(E20="F","",E16),0)</f>
        <v>0</v>
      </c>
      <c r="AJ15" s="109">
        <f>IF(AB15=F16,IF(E16="F","",E20),0)</f>
        <v>0</v>
      </c>
      <c r="AK15" s="108">
        <f>IF(AB15=F10,IF(E6="F","",E10),0)</f>
        <v>0</v>
      </c>
      <c r="AL15" s="108">
        <f>IF(AB15=F10,IF(E10="F","",E6),0)</f>
        <v>0</v>
      </c>
      <c r="AM15" s="110">
        <f t="shared" si="1"/>
        <v>0</v>
      </c>
      <c r="AN15" s="110">
        <f t="shared" si="1"/>
        <v>0</v>
      </c>
      <c r="AO15" s="106">
        <f>AM15-AN15</f>
        <v>0</v>
      </c>
      <c r="AQ15" s="126"/>
      <c r="AR15" s="116" t="str">
        <f>Z16</f>
        <v/>
      </c>
      <c r="AS15" s="117" t="str">
        <f>IF(AR15="","",(VLOOKUP(AR15,AB4:AO17,14,FALSE)))</f>
        <v/>
      </c>
      <c r="AT15" s="129"/>
    </row>
    <row r="16" spans="1:46" ht="30" customHeight="1" thickBot="1" x14ac:dyDescent="0.25">
      <c r="A16" s="82"/>
      <c r="B16" s="86"/>
      <c r="C16" s="86"/>
      <c r="D16" s="118"/>
      <c r="E16" s="99"/>
      <c r="F16" s="68" t="str">
        <f>IF(OR(I14="F",I14="A"),J18,IF(OR(I18="F",I18="A"),J14,IF(I14=I18,"",(IF(I14&gt;I18,J14,J18)))))</f>
        <v/>
      </c>
      <c r="G16" s="69" t="str">
        <f>IF(OR(I14="F",I14="A"),K18,IF(OR(I18="F",I18="A"),K14,IF(I14=I18,"",(IF(I14&gt;I18,K14,K18)))))</f>
        <v/>
      </c>
      <c r="H16" s="84"/>
      <c r="I16" s="113"/>
      <c r="J16" s="100" t="s">
        <v>102</v>
      </c>
      <c r="K16" s="101"/>
      <c r="L16" s="89"/>
      <c r="M16" s="84"/>
      <c r="N16" s="84"/>
      <c r="O16" s="83"/>
      <c r="P16" s="84"/>
      <c r="Q16" s="100" t="s">
        <v>100</v>
      </c>
      <c r="R16" s="101"/>
      <c r="S16" s="83"/>
      <c r="T16" s="119"/>
      <c r="U16" s="68" t="str">
        <f>IF(OR(S14="F",S14="A"),Q18,IF(OR(S18="F",S18="A"),Q14,IF(S14=S18,"",(IF(S14&gt;S18,Q14,Q18)))))</f>
        <v/>
      </c>
      <c r="V16" s="219" t="str">
        <f>IF(OR(S14="F",S14="A"),R18,IF(OR(S18="F",S18="A"),R14,IF(S14=S18,"",(IF(S14&gt;S18,R14,R18)))))</f>
        <v/>
      </c>
      <c r="W16" s="220" t="s">
        <v>58</v>
      </c>
      <c r="Y16" s="80">
        <v>6</v>
      </c>
      <c r="Z16" s="106" t="str">
        <f>IF(B18="","",IF(B18=F16,F20,F16))</f>
        <v/>
      </c>
      <c r="AB16" s="107" t="str">
        <f>M17</f>
        <v>GUIBERT Danielle</v>
      </c>
      <c r="AC16" s="108">
        <f>IF(AB16=M17,IF(O19="F","",O17),0)</f>
        <v>0</v>
      </c>
      <c r="AD16" s="108">
        <f>IF(AB16=M17,IF(O17="F","",O19),0)</f>
        <v>0</v>
      </c>
      <c r="AE16" s="109">
        <f>IF(AB16=Q18,IF(S14="F","",S18),0)</f>
        <v>0</v>
      </c>
      <c r="AF16" s="109">
        <f>IF(AB16=Q18,IF(S18="F","",S14),0)</f>
        <v>0</v>
      </c>
      <c r="AG16" s="108">
        <f>IF(AB16=J18,IF(I14="F","",I18),0)</f>
        <v>0</v>
      </c>
      <c r="AH16" s="108">
        <f>IF(AB16=J18,IF(I18="F","",I14),0)</f>
        <v>0</v>
      </c>
      <c r="AI16" s="109">
        <f>IF(AB16=F16,IF(E20="F","",E16),0)</f>
        <v>0</v>
      </c>
      <c r="AJ16" s="109">
        <f>IF(AB16=F16,IF(E16="F","",E20),0)</f>
        <v>0</v>
      </c>
      <c r="AK16" s="108">
        <f>IF(AB16=F10,IF(E6="F","",E10),0)</f>
        <v>0</v>
      </c>
      <c r="AL16" s="108">
        <f>IF(AB16=F10,IF(E10="F","",E6),0)</f>
        <v>0</v>
      </c>
      <c r="AM16" s="110">
        <f t="shared" si="1"/>
        <v>0</v>
      </c>
      <c r="AN16" s="110">
        <f t="shared" si="1"/>
        <v>0</v>
      </c>
      <c r="AO16" s="106">
        <f>AM16-AN16</f>
        <v>0</v>
      </c>
      <c r="AQ16" s="126"/>
      <c r="AR16" s="116" t="str">
        <f>Z7</f>
        <v/>
      </c>
      <c r="AS16" s="117" t="str">
        <f>IF(AR16="","",(VLOOKUP(AR16,AB4:AO17,14,FALSE)))</f>
        <v/>
      </c>
      <c r="AT16" s="129"/>
    </row>
    <row r="17" spans="1:46" ht="30" customHeight="1" thickBot="1" x14ac:dyDescent="0.25">
      <c r="A17" s="82"/>
      <c r="B17" s="120"/>
      <c r="C17" s="86" t="s">
        <v>36</v>
      </c>
      <c r="D17" s="86"/>
      <c r="E17" s="113"/>
      <c r="F17" s="84"/>
      <c r="G17" s="84"/>
      <c r="H17" s="84"/>
      <c r="I17" s="113"/>
      <c r="J17" s="84"/>
      <c r="K17" s="84"/>
      <c r="L17" s="89">
        <v>15</v>
      </c>
      <c r="M17" s="68" t="str">
        <f>IF(IF(ISNA(VLOOKUP(L17,Inscrits!$A$2:$C$33,2,FALSE)),"",VLOOKUP(L17,Inscrits!$A$2:$C$33,2,FALSE))=0,"",IF(ISNA(VLOOKUP(L17,Inscrits!$A$2:$C$33,2,FALSE)),"",VLOOKUP(L17,Inscrits!$A$2:$C$33,2,FALSE)))</f>
        <v>GUIBERT Danielle</v>
      </c>
      <c r="N17" s="69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0"/>
      <c r="P17" s="91"/>
      <c r="Q17" s="84"/>
      <c r="R17" s="84"/>
      <c r="S17" s="83"/>
      <c r="T17" s="114"/>
      <c r="U17" s="86"/>
      <c r="V17" s="86"/>
      <c r="W17" s="87"/>
      <c r="Y17" s="80">
        <v>8</v>
      </c>
      <c r="Z17" s="106" t="str">
        <f>IF(F16="","",IF(F16=J14,J18,J14))</f>
        <v/>
      </c>
      <c r="AB17" s="107" t="str">
        <f>M19</f>
        <v>SOCKEEL Aurore</v>
      </c>
      <c r="AC17" s="108">
        <f>IF(AB17=M19,IF(O17="F","",O19),0)</f>
        <v>0</v>
      </c>
      <c r="AD17" s="108">
        <f>IF(AB17=M19,IF(O19="F","",O17),0)</f>
        <v>0</v>
      </c>
      <c r="AE17" s="109">
        <f>IF(AB17=Q18,IF(S14="F","",S18),0)</f>
        <v>0</v>
      </c>
      <c r="AF17" s="109">
        <f>IF(AB17=Q18,IF(S18="F","",S14),0)</f>
        <v>0</v>
      </c>
      <c r="AG17" s="108">
        <f>IF(AB17=J18,IF(I14="F","",I18),0)</f>
        <v>0</v>
      </c>
      <c r="AH17" s="108">
        <f>IF(AB17=J18,IF(I18="F","",I14),0)</f>
        <v>0</v>
      </c>
      <c r="AI17" s="109">
        <f>IF(AB17=F16,IF(E20="F","",E16),0)</f>
        <v>0</v>
      </c>
      <c r="AJ17" s="109">
        <f>IF(AB17=F16,IF(E16="F","",E20),0)</f>
        <v>0</v>
      </c>
      <c r="AK17" s="108">
        <f>IF(AB17=F10,IF(E6="F","",E10),0)</f>
        <v>0</v>
      </c>
      <c r="AL17" s="108">
        <f>IF(AB17=F10,IF(E10="F","",E6),0)</f>
        <v>0</v>
      </c>
      <c r="AM17" s="110">
        <f t="shared" si="1"/>
        <v>0</v>
      </c>
      <c r="AN17" s="110">
        <f t="shared" si="1"/>
        <v>0</v>
      </c>
      <c r="AO17" s="106">
        <f>AM17-AN17</f>
        <v>0</v>
      </c>
      <c r="AQ17" s="126"/>
      <c r="AR17" s="116" t="str">
        <f>Z17</f>
        <v/>
      </c>
      <c r="AS17" s="117" t="str">
        <f>IF(AR17="","",(VLOOKUP(AR17,AB4:AO17,14,FALSE)))</f>
        <v/>
      </c>
      <c r="AT17" s="129"/>
    </row>
    <row r="18" spans="1:46" ht="30" customHeight="1" thickBot="1" x14ac:dyDescent="0.25">
      <c r="A18" s="218" t="s">
        <v>161</v>
      </c>
      <c r="B18" s="217" t="str">
        <f>IF(OR(E16="F",E16="A"),F20,IF(OR(E20="F",E20="A"),F16,IF(E16=E20,"",(IF(E16&gt;E20,F16,F20)))))</f>
        <v/>
      </c>
      <c r="C18" s="121" t="str">
        <f>IF(OR(E16="F",E16="A"),G20,IF(OR(E20="F",E20="A"),G16,IF(E16=E20,"",(IF(E16&gt;E20,G16,G20)))))</f>
        <v/>
      </c>
      <c r="D18" s="86"/>
      <c r="E18" s="113"/>
      <c r="F18" s="100" t="s">
        <v>104</v>
      </c>
      <c r="G18" s="101"/>
      <c r="H18" s="98"/>
      <c r="I18" s="99"/>
      <c r="J18" s="68" t="str">
        <f>IF(OR(AND(O17="F",O19="F"),AND(O17="A",O19="A")),M19,IF(OR(O17="F",O17="A"),M17,IF(OR(O19="F",O19="A"),M19,IF(O17=O19,"",(IF(O17&lt;O19,M17,M19))))))</f>
        <v/>
      </c>
      <c r="K18" s="69" t="str">
        <f>IF(OR(AND(O17="F",O19="F"),AND(O17="A",O19="A")),N19,IF(OR(O17="F",O17="A"),N17,IF(OR(O19="F",O19="A"),N19,IF(O17=O19,"",(IF(O17&lt;O19,N17,N19))))))</f>
        <v/>
      </c>
      <c r="L18" s="89"/>
      <c r="M18" s="100" t="s">
        <v>98</v>
      </c>
      <c r="N18" s="101"/>
      <c r="O18" s="102"/>
      <c r="P18" s="122"/>
      <c r="Q18" s="68" t="str">
        <f>IF(OR(AND(O17="F",O19="F"),AND(O17="A",O19="A")),M17,IF(OR(O17="F",O17="A"),M19,IF(OR(O19="F",O19="A"),M17,IF(O17=O19,"",(IF(O17&gt;O19,M17,M19))))))</f>
        <v/>
      </c>
      <c r="R18" s="69" t="str">
        <f>IF(OR(AND(O17="F",O19="F"),AND(O17="A",O19="A")),N17,IF(OR(O17="F",O17="A"),N19,IF(OR(O19="F",O19="A"),N17,IF(O17=O19,"",(IF(O17&gt;O19,N17,N19))))))</f>
        <v/>
      </c>
      <c r="S18" s="104"/>
      <c r="T18" s="105"/>
      <c r="U18" s="86"/>
      <c r="V18" s="86"/>
      <c r="W18" s="87"/>
      <c r="AQ18" s="130"/>
      <c r="AR18" s="131"/>
      <c r="AS18" s="131"/>
      <c r="AT18" s="132"/>
    </row>
    <row r="19" spans="1:46" ht="30" customHeight="1" x14ac:dyDescent="0.2">
      <c r="A19" s="82"/>
      <c r="B19" s="86"/>
      <c r="C19" s="86"/>
      <c r="D19" s="86"/>
      <c r="E19" s="113"/>
      <c r="F19" s="84"/>
      <c r="G19" s="84"/>
      <c r="H19" s="84"/>
      <c r="I19" s="83"/>
      <c r="J19" s="88"/>
      <c r="K19" s="84" t="s">
        <v>29</v>
      </c>
      <c r="L19" s="89">
        <v>2</v>
      </c>
      <c r="M19" s="68" t="str">
        <f>IF(IF(ISNA(VLOOKUP(L19,Inscrits!$A$2:$C$33,2,FALSE)),"",VLOOKUP(L19,Inscrits!$A$2:$C$33,2,FALSE))=0,"",IF(ISNA(VLOOKUP(L19,Inscrits!$A$2:$C$33,2,FALSE)),"",VLOOKUP(L19,Inscrits!$A$2:$C$33,2,FALSE)))</f>
        <v>SOCKEEL Aurore</v>
      </c>
      <c r="N19" s="69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90"/>
      <c r="P19" s="91"/>
      <c r="Q19" s="92" t="s">
        <v>6</v>
      </c>
      <c r="R19" s="84"/>
      <c r="S19" s="83"/>
      <c r="T19" s="86"/>
      <c r="U19" s="86"/>
      <c r="V19" s="86"/>
      <c r="W19" s="87"/>
    </row>
    <row r="20" spans="1:46" ht="30" customHeight="1" x14ac:dyDescent="0.2">
      <c r="A20" s="82"/>
      <c r="B20" s="86"/>
      <c r="C20" s="86"/>
      <c r="D20" s="118"/>
      <c r="E20" s="99"/>
      <c r="F20" s="68" t="str">
        <f>IF(OR(S4="F",S4="A"),Q4,IF(OR(S8="F",S8="A"),Q8,IF(S4=S8,"",(IF(S4&lt;S8,Q4,Q8)))))</f>
        <v/>
      </c>
      <c r="G20" s="69" t="str">
        <f>IF(OR(S4="F",S4="A"),R4,IF(OR(S8="F",S8="A"),R8,IF(S4=S8,"",(IF(S4&lt;S8,R4,R8)))))</f>
        <v/>
      </c>
      <c r="H20" s="84"/>
      <c r="I20" s="83"/>
      <c r="J20" s="84"/>
      <c r="K20" s="84"/>
      <c r="L20" s="89"/>
      <c r="M20" s="84"/>
      <c r="N20" s="84"/>
      <c r="O20" s="83"/>
      <c r="P20" s="84"/>
      <c r="Q20" s="84"/>
      <c r="R20" s="84"/>
      <c r="S20" s="83"/>
      <c r="T20" s="86"/>
      <c r="U20" s="86"/>
      <c r="V20" s="86"/>
      <c r="W20" s="87"/>
    </row>
    <row r="21" spans="1:46" ht="30" customHeight="1" x14ac:dyDescent="0.2">
      <c r="A21" s="82"/>
      <c r="B21" s="86"/>
      <c r="C21" s="86"/>
      <c r="D21" s="86"/>
      <c r="E21" s="83"/>
      <c r="F21" s="88"/>
      <c r="G21" s="84" t="s">
        <v>34</v>
      </c>
      <c r="H21" s="84"/>
      <c r="I21" s="83"/>
      <c r="J21" s="204" t="str">
        <f>IF(Accueil!G18=3,"","MATCHS EN 2 GAGNANTES COTE PERDANT")</f>
        <v/>
      </c>
      <c r="K21" s="204"/>
      <c r="L21" s="204"/>
      <c r="M21" s="204"/>
      <c r="N21" s="204"/>
      <c r="O21" s="204"/>
      <c r="P21" s="204"/>
      <c r="Q21" s="204"/>
      <c r="R21" s="204"/>
      <c r="S21" s="83"/>
      <c r="T21" s="86"/>
      <c r="U21" s="86"/>
      <c r="V21" s="86"/>
      <c r="W21" s="87"/>
    </row>
    <row r="22" spans="1:46" ht="30" customHeight="1" thickBot="1" x14ac:dyDescent="0.3">
      <c r="A22" s="133"/>
      <c r="B22" s="134"/>
      <c r="C22" s="134"/>
      <c r="D22" s="134"/>
      <c r="E22" s="135"/>
      <c r="F22" s="136"/>
      <c r="G22" s="136"/>
      <c r="H22" s="136"/>
      <c r="I22" s="135"/>
      <c r="J22" s="136"/>
      <c r="K22" s="136"/>
      <c r="L22" s="137"/>
      <c r="M22" s="136"/>
      <c r="N22" s="136"/>
      <c r="O22" s="135"/>
      <c r="P22" s="136"/>
      <c r="Q22" s="136"/>
      <c r="R22" s="136"/>
      <c r="S22" s="135"/>
      <c r="T22" s="134"/>
      <c r="U22" s="134"/>
      <c r="V22" s="134"/>
      <c r="W22" s="138"/>
    </row>
    <row r="23" spans="1:46" ht="30.95" customHeight="1" thickTop="1" x14ac:dyDescent="0.2"/>
    <row r="24" spans="1:46" ht="14.1" customHeight="1" x14ac:dyDescent="0.2">
      <c r="M24" s="84"/>
      <c r="N24" s="84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06" priority="1" stopIfTrue="1">
      <formula>AND(($F$6=$B$8),($F$6&lt;&gt;""))</formula>
    </cfRule>
    <cfRule type="expression" priority="2" stopIfTrue="1">
      <formula>$F$10=$B$8</formula>
    </cfRule>
    <cfRule type="expression" dxfId="105" priority="3" stopIfTrue="1">
      <formula>AND(($G$8&lt;&gt;""),($F$6&lt;&gt;""))</formula>
    </cfRule>
  </conditionalFormatting>
  <conditionalFormatting sqref="J8:K8">
    <cfRule type="expression" dxfId="104" priority="4" stopIfTrue="1">
      <formula>AND(($J$8=$F$6),($J$8&lt;&gt;""))</formula>
    </cfRule>
    <cfRule type="expression" priority="5" stopIfTrue="1">
      <formula>$J$4=$F$6</formula>
    </cfRule>
    <cfRule type="expression" dxfId="103" priority="6" stopIfTrue="1">
      <formula>AND(($K$6&lt;&gt;""),($J$8&lt;&gt;""))</formula>
    </cfRule>
  </conditionalFormatting>
  <conditionalFormatting sqref="J4:K4">
    <cfRule type="expression" dxfId="102" priority="7" stopIfTrue="1">
      <formula>AND(($J$4=$F$6),($J$4&lt;&gt;""))</formula>
    </cfRule>
    <cfRule type="expression" priority="8" stopIfTrue="1">
      <formula>$J$8=$F$6</formula>
    </cfRule>
    <cfRule type="expression" dxfId="101" priority="9" stopIfTrue="1">
      <formula>AND(($K$6&lt;&gt;""),($J$4&lt;&gt;""))</formula>
    </cfRule>
  </conditionalFormatting>
  <conditionalFormatting sqref="F10:G10">
    <cfRule type="expression" dxfId="100" priority="10" stopIfTrue="1">
      <formula>AND(($F$10=$B$8),($F$10&lt;&gt;""))</formula>
    </cfRule>
    <cfRule type="expression" priority="11" stopIfTrue="1">
      <formula>$F$6=$B$8</formula>
    </cfRule>
    <cfRule type="expression" dxfId="99" priority="12" stopIfTrue="1">
      <formula>AND(($G$8&lt;&gt;""),($F$10&lt;&gt;""))</formula>
    </cfRule>
  </conditionalFormatting>
  <conditionalFormatting sqref="F16:G16">
    <cfRule type="expression" dxfId="98" priority="13" stopIfTrue="1">
      <formula>AND(($F$16=$B$18),($F$16&lt;&gt;""))</formula>
    </cfRule>
    <cfRule type="expression" priority="14" stopIfTrue="1">
      <formula>$F$20=$B$18</formula>
    </cfRule>
    <cfRule type="expression" dxfId="97" priority="15" stopIfTrue="1">
      <formula>AND(($G$18&lt;&gt;""),($F$16&lt;&gt;""))</formula>
    </cfRule>
  </conditionalFormatting>
  <conditionalFormatting sqref="F20:G20">
    <cfRule type="expression" dxfId="96" priority="16" stopIfTrue="1">
      <formula>AND(($F$20=$B$18),($F$20&lt;&gt;""))</formula>
    </cfRule>
    <cfRule type="expression" priority="17" stopIfTrue="1">
      <formula>$F$16=$B$18</formula>
    </cfRule>
    <cfRule type="expression" dxfId="95" priority="18" stopIfTrue="1">
      <formula>AND(($G$18&lt;&gt;""),($F$20&lt;&gt;""))</formula>
    </cfRule>
  </conditionalFormatting>
  <conditionalFormatting sqref="J14:K14">
    <cfRule type="expression" dxfId="94" priority="19" stopIfTrue="1">
      <formula>AND(($J$14=$F$16),($J$14&lt;&gt;""))</formula>
    </cfRule>
    <cfRule type="expression" priority="20" stopIfTrue="1">
      <formula>$J$18=$F$16</formula>
    </cfRule>
    <cfRule type="expression" dxfId="93" priority="21" stopIfTrue="1">
      <formula>AND(($K$16&lt;&gt;""),($J$14&lt;&gt;""))</formula>
    </cfRule>
  </conditionalFormatting>
  <conditionalFormatting sqref="J18:K18">
    <cfRule type="expression" dxfId="92" priority="22" stopIfTrue="1">
      <formula>AND(($J$18=$F$16),($J$18&lt;&gt;""))</formula>
    </cfRule>
    <cfRule type="expression" priority="23" stopIfTrue="1">
      <formula>$J$14=$F$16</formula>
    </cfRule>
    <cfRule type="expression" dxfId="91" priority="24" stopIfTrue="1">
      <formula>AND(($K$16&lt;&gt;""),($J$18&lt;&gt;""))</formula>
    </cfRule>
  </conditionalFormatting>
  <conditionalFormatting sqref="Q4:R4">
    <cfRule type="expression" dxfId="90" priority="25" stopIfTrue="1">
      <formula>AND(($Q$4=$U$6),($Q$4&lt;&gt;""))</formula>
    </cfRule>
    <cfRule type="expression" priority="26" stopIfTrue="1">
      <formula>$Q$8=$U$6</formula>
    </cfRule>
    <cfRule type="expression" dxfId="89" priority="27" stopIfTrue="1">
      <formula>AND(($R$6&lt;&gt;""),($Q$4&lt;&gt;""))</formula>
    </cfRule>
  </conditionalFormatting>
  <conditionalFormatting sqref="Q8:R8">
    <cfRule type="expression" dxfId="88" priority="28" stopIfTrue="1">
      <formula>AND(($Q$8=$U$6),($Q$8&lt;&gt;""))</formula>
    </cfRule>
    <cfRule type="expression" priority="29" stopIfTrue="1">
      <formula>$Q$4=$U$6</formula>
    </cfRule>
    <cfRule type="expression" dxfId="87" priority="30" stopIfTrue="1">
      <formula>AND(($R$6&lt;&gt;""),($Q$8&lt;&gt;""))</formula>
    </cfRule>
  </conditionalFormatting>
  <conditionalFormatting sqref="Q14:R14">
    <cfRule type="expression" dxfId="86" priority="31" stopIfTrue="1">
      <formula>AND(($Q$14=$U$16),($Q$14&lt;&gt;""))</formula>
    </cfRule>
    <cfRule type="expression" priority="32" stopIfTrue="1">
      <formula>$Q$18=$U$16</formula>
    </cfRule>
    <cfRule type="expression" dxfId="85" priority="33" stopIfTrue="1">
      <formula>AND(($R$16&lt;&gt;""),($Q$14&lt;&gt;""))</formula>
    </cfRule>
  </conditionalFormatting>
  <conditionalFormatting sqref="Q18:R18">
    <cfRule type="expression" dxfId="84" priority="34" stopIfTrue="1">
      <formula>AND(($Q$18=$U$16),($Q$18&lt;&gt;""))</formula>
    </cfRule>
    <cfRule type="expression" priority="35" stopIfTrue="1">
      <formula>$Q$14=$U$16</formula>
    </cfRule>
    <cfRule type="expression" dxfId="83" priority="36" stopIfTrue="1">
      <formula>AND(($R$16&lt;&gt;""),($Q$18&lt;&gt;""))</formula>
    </cfRule>
  </conditionalFormatting>
  <conditionalFormatting sqref="M3:N3">
    <cfRule type="expression" dxfId="82" priority="37" stopIfTrue="1">
      <formula>AND(($M$3=$Q$4),($M$3&lt;&gt;""))</formula>
    </cfRule>
    <cfRule type="expression" dxfId="81" priority="38" stopIfTrue="1">
      <formula>$M$5=$Q$4</formula>
    </cfRule>
    <cfRule type="expression" dxfId="80" priority="39" stopIfTrue="1">
      <formula>AND(($N$4&lt;&gt;""),($M$3&lt;&gt;""))</formula>
    </cfRule>
  </conditionalFormatting>
  <conditionalFormatting sqref="M5:N5">
    <cfRule type="expression" dxfId="79" priority="40" stopIfTrue="1">
      <formula>AND(($M$5=$Q$4),($M$5&lt;&gt;""))</formula>
    </cfRule>
    <cfRule type="expression" priority="41" stopIfTrue="1">
      <formula>$M$3=$Q$4</formula>
    </cfRule>
    <cfRule type="expression" dxfId="78" priority="42" stopIfTrue="1">
      <formula>AND(($N$4&lt;&gt;""),($M$5&lt;&gt;""))</formula>
    </cfRule>
  </conditionalFormatting>
  <conditionalFormatting sqref="M7:N7">
    <cfRule type="expression" dxfId="77" priority="43" stopIfTrue="1">
      <formula>AND(($M$7=$Q$8),($M$7&lt;&gt;""))</formula>
    </cfRule>
    <cfRule type="expression" priority="44" stopIfTrue="1">
      <formula>$M$9=$Q$8</formula>
    </cfRule>
    <cfRule type="expression" dxfId="76" priority="45" stopIfTrue="1">
      <formula>AND(($N$8&lt;&gt;""),($M$7&lt;&gt;""))</formula>
    </cfRule>
  </conditionalFormatting>
  <conditionalFormatting sqref="M9:N9">
    <cfRule type="expression" dxfId="75" priority="46" stopIfTrue="1">
      <formula>AND(($M$9=$Q$8),($M$9&lt;&gt;""))</formula>
    </cfRule>
    <cfRule type="expression" priority="47" stopIfTrue="1">
      <formula>$M$7=$Q$8</formula>
    </cfRule>
    <cfRule type="expression" dxfId="74" priority="48" stopIfTrue="1">
      <formula>AND(($N$8&lt;&gt;""),($M$9&lt;&gt;""))</formula>
    </cfRule>
  </conditionalFormatting>
  <conditionalFormatting sqref="M13:N13">
    <cfRule type="expression" dxfId="73" priority="49" stopIfTrue="1">
      <formula>AND(($M$13=$Q$14),($M$13&lt;&gt;""))</formula>
    </cfRule>
    <cfRule type="expression" priority="50" stopIfTrue="1">
      <formula>$M$15=$Q$14</formula>
    </cfRule>
    <cfRule type="expression" dxfId="72" priority="51" stopIfTrue="1">
      <formula>AND(($N$14&lt;&gt;""),($M$13&lt;&gt;""))</formula>
    </cfRule>
  </conditionalFormatting>
  <conditionalFormatting sqref="M15:N15">
    <cfRule type="expression" dxfId="71" priority="52" stopIfTrue="1">
      <formula>AND(($M$15=$Q$14),($M$15&lt;&gt;""))</formula>
    </cfRule>
    <cfRule type="expression" priority="53" stopIfTrue="1">
      <formula>$M$13=$Q$14</formula>
    </cfRule>
    <cfRule type="expression" dxfId="70" priority="54" stopIfTrue="1">
      <formula>AND(($N$14&lt;&gt;""),($M$15&lt;&gt;""))</formula>
    </cfRule>
  </conditionalFormatting>
  <conditionalFormatting sqref="M17:N17">
    <cfRule type="expression" dxfId="69" priority="55" stopIfTrue="1">
      <formula>AND(($M$17=$Q$18),($M$17&lt;&gt;""))</formula>
    </cfRule>
    <cfRule type="expression" priority="56" stopIfTrue="1">
      <formula>$M$19=$Q$18</formula>
    </cfRule>
    <cfRule type="expression" dxfId="68" priority="57" stopIfTrue="1">
      <formula>AND(($N$18&lt;&gt;""),($M$17&lt;&gt;""))</formula>
    </cfRule>
  </conditionalFormatting>
  <conditionalFormatting sqref="M19:N19">
    <cfRule type="expression" dxfId="67" priority="58" stopIfTrue="1">
      <formula>AND(($M$19=$Q$18),($M$19&lt;&gt;""))</formula>
    </cfRule>
    <cfRule type="expression" priority="59" stopIfTrue="1">
      <formula>$M$17=$Q$18</formula>
    </cfRule>
    <cfRule type="expression" dxfId="66" priority="60" stopIfTrue="1">
      <formula>AND(($N$18&lt;&gt;""),($M$19&lt;&gt;""))</formula>
    </cfRule>
  </conditionalFormatting>
  <conditionalFormatting sqref="S14 S8 S4 S18 O19 O17 O15 O13 O9 O7 O5 O3 I4 I8 E6 E10 E16 E20 I18 I14">
    <cfRule type="cellIs" dxfId="65" priority="61" stopIfTrue="1" operator="equal">
      <formula>"F"</formula>
    </cfRule>
    <cfRule type="cellIs" dxfId="64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E10" zoomScale="75" workbookViewId="0">
      <selection activeCell="E7" sqref="E7"/>
    </sheetView>
  </sheetViews>
  <sheetFormatPr baseColWidth="10" defaultRowHeight="19.5" x14ac:dyDescent="0.2"/>
  <cols>
    <col min="1" max="1" width="10.42578125" style="142" hidden="1" customWidth="1"/>
    <col min="2" max="2" width="24.7109375" style="140" hidden="1" customWidth="1"/>
    <col min="3" max="3" width="5.42578125" style="174" hidden="1" customWidth="1"/>
    <col min="4" max="4" width="2.42578125" style="174" hidden="1" customWidth="1"/>
    <col min="5" max="5" width="10.7109375" style="221" customWidth="1"/>
    <col min="6" max="6" width="24.7109375" style="144" customWidth="1"/>
    <col min="7" max="7" width="5.28515625" style="144" customWidth="1"/>
    <col min="8" max="8" width="2.42578125" style="144" customWidth="1"/>
    <col min="9" max="9" width="10.7109375" style="143" customWidth="1"/>
    <col min="10" max="10" width="24.7109375" style="144" customWidth="1"/>
    <col min="11" max="11" width="5.28515625" style="144" customWidth="1"/>
    <col min="12" max="12" width="2.42578125" style="144" customWidth="1"/>
    <col min="13" max="13" width="10.7109375" style="143" customWidth="1"/>
    <col min="14" max="14" width="24.7109375" style="144" customWidth="1"/>
    <col min="15" max="15" width="5.28515625" style="144" customWidth="1"/>
    <col min="16" max="16" width="2.42578125" style="144" customWidth="1"/>
    <col min="17" max="17" width="10.7109375" style="143" customWidth="1"/>
    <col min="18" max="18" width="24.7109375" style="144" customWidth="1"/>
    <col min="19" max="19" width="5.28515625" style="144" customWidth="1"/>
    <col min="20" max="20" width="6.85546875" style="144" customWidth="1"/>
    <col min="21" max="21" width="6.85546875" style="143" hidden="1" customWidth="1"/>
    <col min="22" max="22" width="24" style="145" hidden="1" customWidth="1"/>
    <col min="23" max="27" width="11.42578125" style="146" hidden="1" customWidth="1"/>
    <col min="28" max="28" width="11.42578125" style="145" hidden="1" customWidth="1"/>
    <col min="29" max="29" width="24" style="145" hidden="1" customWidth="1"/>
    <col min="30" max="30" width="10.7109375" style="146" hidden="1" customWidth="1"/>
    <col min="31" max="31" width="11.42578125" style="145" hidden="1" customWidth="1"/>
    <col min="32" max="32" width="24" style="145" hidden="1" customWidth="1"/>
    <col min="33" max="33" width="11.42578125" style="146" hidden="1" customWidth="1"/>
    <col min="34" max="35" width="11.42578125" style="145" hidden="1" customWidth="1"/>
    <col min="36" max="16384" width="11.42578125" style="145"/>
  </cols>
  <sheetData>
    <row r="1" spans="2:35" ht="29.25" x14ac:dyDescent="0.2">
      <c r="B1" s="212" t="s">
        <v>12</v>
      </c>
      <c r="C1" s="212"/>
      <c r="D1" s="212"/>
      <c r="F1" s="212" t="s">
        <v>13</v>
      </c>
      <c r="G1" s="212"/>
      <c r="H1" s="212"/>
      <c r="J1" s="212" t="s">
        <v>14</v>
      </c>
      <c r="K1" s="212"/>
      <c r="L1" s="212"/>
      <c r="N1" s="212" t="s">
        <v>74</v>
      </c>
      <c r="O1" s="212"/>
      <c r="P1" s="212"/>
    </row>
    <row r="2" spans="2:35" ht="22.5" x14ac:dyDescent="0.2">
      <c r="B2" s="211" t="str">
        <f>"("&amp;Accueil!D20&amp;" manches)"</f>
        <v>( manches)</v>
      </c>
      <c r="C2" s="211"/>
      <c r="D2" s="211"/>
      <c r="F2" s="211" t="str">
        <f>"("&amp;Accueil!G20&amp;" manches)"</f>
        <v>(4 manches)</v>
      </c>
      <c r="G2" s="211"/>
      <c r="H2" s="211"/>
      <c r="J2" s="211" t="str">
        <f>"("&amp;Accueil!D22&amp;" manches)"</f>
        <v>(4 manches)</v>
      </c>
      <c r="K2" s="211"/>
      <c r="L2" s="211"/>
      <c r="N2" s="211" t="str">
        <f>"("&amp;Accueil!G22&amp;" manches)"</f>
        <v>(5 manches)</v>
      </c>
      <c r="O2" s="211"/>
      <c r="P2" s="211"/>
    </row>
    <row r="3" spans="2:35" ht="24.95" customHeight="1" thickBot="1" x14ac:dyDescent="0.25">
      <c r="B3" s="100"/>
      <c r="C3" s="101"/>
      <c r="D3" s="147"/>
      <c r="E3" s="222"/>
      <c r="F3" s="148"/>
      <c r="G3" s="148"/>
      <c r="H3" s="148"/>
      <c r="I3" s="149"/>
      <c r="J3" s="148"/>
      <c r="K3" s="148"/>
      <c r="L3" s="148"/>
      <c r="M3" s="149"/>
      <c r="N3" s="148"/>
      <c r="O3" s="148"/>
      <c r="P3" s="148"/>
      <c r="Q3" s="149"/>
      <c r="R3" s="148"/>
      <c r="S3" s="148"/>
      <c r="V3" s="150" t="s">
        <v>21</v>
      </c>
      <c r="W3" s="151" t="s">
        <v>22</v>
      </c>
      <c r="X3" s="151" t="s">
        <v>23</v>
      </c>
      <c r="Y3" s="151" t="s">
        <v>24</v>
      </c>
      <c r="Z3" s="152" t="s">
        <v>74</v>
      </c>
      <c r="AA3" s="153" t="s">
        <v>26</v>
      </c>
      <c r="AC3" s="150" t="s">
        <v>21</v>
      </c>
      <c r="AD3" s="153" t="s">
        <v>25</v>
      </c>
      <c r="AF3" s="150" t="s">
        <v>21</v>
      </c>
      <c r="AG3" s="153" t="s">
        <v>25</v>
      </c>
      <c r="AH3" s="153" t="s">
        <v>26</v>
      </c>
      <c r="AI3" s="153" t="s">
        <v>27</v>
      </c>
    </row>
    <row r="4" spans="2:35" ht="24.95" customHeight="1" thickBot="1" x14ac:dyDescent="0.25">
      <c r="B4" s="154"/>
      <c r="C4" s="155"/>
      <c r="D4" s="156"/>
      <c r="E4" s="223"/>
      <c r="F4" s="147"/>
      <c r="G4" s="158"/>
      <c r="H4" s="147"/>
      <c r="I4" s="157"/>
      <c r="J4" s="147"/>
      <c r="K4" s="158"/>
      <c r="L4" s="147"/>
      <c r="M4" s="157"/>
      <c r="N4" s="147"/>
      <c r="O4" s="158"/>
      <c r="P4" s="147"/>
      <c r="Q4" s="157"/>
      <c r="R4" s="147"/>
      <c r="S4" s="158"/>
      <c r="T4" s="84"/>
      <c r="U4" s="98"/>
      <c r="V4" s="159" t="str">
        <f>F5</f>
        <v/>
      </c>
      <c r="W4" s="176"/>
      <c r="X4" s="160">
        <f>IF(AND(H5="A",H7="A"),0,IF(H5="A",-H7,IF(H7="A",H5,H5-H7)))</f>
        <v>0</v>
      </c>
      <c r="Y4" s="160">
        <f>IF(J6=V4,IF(AND(L6="A",L12="A"),0,IF(OR(X4&gt;0,H7="A"),IF(L6="A",-L12,IF(L12="A",L6,L6-L12)),0)),0)</f>
        <v>0</v>
      </c>
      <c r="Z4" s="160">
        <f>IF(N9=V4,IF(AND(P9="A",P21="A"),0,IF(OR(Y4&gt;0,L12="A"),IF(P9="A",-P21,IF(P21="A",P9,P9-P21)),0)),0)</f>
        <v>0</v>
      </c>
      <c r="AA4" s="161">
        <f>SUM(W4:Z4)</f>
        <v>0</v>
      </c>
      <c r="AC4" s="159" t="str">
        <f>'1'!AR4</f>
        <v/>
      </c>
      <c r="AD4" s="161" t="str">
        <f>'1'!AS4</f>
        <v/>
      </c>
      <c r="AF4" s="159" t="str">
        <f>IF(Inscrits!B2=0,"",Inscrits!B2)</f>
        <v>SAVONET Valérie</v>
      </c>
      <c r="AG4" s="161" t="e">
        <f>VLOOKUP(AF4,$AC$4:$AD$35,2,FALSE)</f>
        <v>#N/A</v>
      </c>
      <c r="AH4" s="161" t="e">
        <f>VLOOKUP(AF4,$V$4:$AA$35,6,FALSE)</f>
        <v>#N/A</v>
      </c>
      <c r="AI4" s="162" t="e">
        <f t="shared" ref="AI4:AI19" si="0">AG4+AH4</f>
        <v>#N/A</v>
      </c>
    </row>
    <row r="5" spans="2:35" ht="24.95" customHeight="1" thickBot="1" x14ac:dyDescent="0.25">
      <c r="B5" s="163"/>
      <c r="C5" s="164"/>
      <c r="D5" s="165"/>
      <c r="E5" s="227" t="s">
        <v>55</v>
      </c>
      <c r="F5" s="224" t="str">
        <f>IF('1'!U6=0,"",'1'!U6)</f>
        <v/>
      </c>
      <c r="G5" s="167" t="str">
        <f>IF('1'!V6=0,"",'1'!V6)</f>
        <v/>
      </c>
      <c r="H5" s="168"/>
      <c r="I5" s="169"/>
      <c r="J5" s="147"/>
      <c r="K5" s="147"/>
      <c r="L5" s="147"/>
      <c r="M5" s="157"/>
      <c r="N5" s="147"/>
      <c r="O5" s="147"/>
      <c r="P5" s="147"/>
      <c r="Q5" s="157"/>
      <c r="R5" s="147"/>
      <c r="S5" s="147"/>
      <c r="T5" s="84"/>
      <c r="U5" s="98"/>
      <c r="V5" s="175"/>
      <c r="W5" s="176"/>
      <c r="X5" s="176"/>
      <c r="Y5" s="176"/>
      <c r="Z5" s="176"/>
      <c r="AA5" s="176"/>
      <c r="AC5" s="159" t="str">
        <f>'1'!AR5</f>
        <v/>
      </c>
      <c r="AD5" s="161" t="str">
        <f>'1'!AS5</f>
        <v/>
      </c>
      <c r="AF5" s="159" t="str">
        <f>IF(Inscrits!B3=0,"",Inscrits!B3)</f>
        <v>SOCKEEL Aurore</v>
      </c>
      <c r="AG5" s="161" t="e">
        <f t="shared" ref="AG5:AG19" si="1">VLOOKUP(AF5,$AC$4:$AD$35,2,FALSE)</f>
        <v>#N/A</v>
      </c>
      <c r="AH5" s="161" t="e">
        <f t="shared" ref="AH5:AH19" si="2">VLOOKUP(AF5,$V$4:$AA$35,6,FALSE)</f>
        <v>#N/A</v>
      </c>
      <c r="AI5" s="162" t="e">
        <f t="shared" si="0"/>
        <v>#N/A</v>
      </c>
    </row>
    <row r="6" spans="2:35" ht="24.95" customHeight="1" thickBot="1" x14ac:dyDescent="0.25">
      <c r="B6" s="100"/>
      <c r="C6" s="101"/>
      <c r="D6" s="170"/>
      <c r="E6" s="225"/>
      <c r="F6" s="100" t="s">
        <v>95</v>
      </c>
      <c r="G6" s="101"/>
      <c r="H6" s="147"/>
      <c r="I6" s="169"/>
      <c r="J6" s="166" t="str">
        <f>IF(AND(H5="A",H7="A"),F5,IF(H5="A",F7,IF(H7="A",F5,IF(H5=H7,"",(IF(H5&gt;H7,F5,F7))))))</f>
        <v/>
      </c>
      <c r="K6" s="167" t="str">
        <f>IF(AND(H5="A",H7="A"),G5,IF(H5="A",G7,IF(H7="A",G5,IF(H5=H7,"",(IF(H5&gt;H7,G5,G7))))))</f>
        <v/>
      </c>
      <c r="L6" s="168"/>
      <c r="M6" s="169"/>
      <c r="N6" s="147"/>
      <c r="O6" s="147"/>
      <c r="P6" s="147"/>
      <c r="Q6" s="157"/>
      <c r="R6" s="147"/>
      <c r="S6" s="147"/>
      <c r="T6" s="84"/>
      <c r="U6" s="98"/>
      <c r="V6" s="159" t="str">
        <f>F7</f>
        <v/>
      </c>
      <c r="W6" s="176"/>
      <c r="X6" s="160">
        <f>IF(AND(H5="A",H7="A"),0,IF(H7="A",-H5,IF(H5="A",H7,H7-H5)))</f>
        <v>0</v>
      </c>
      <c r="Y6" s="160">
        <f>IF(J6=V6,IF(AND(L6="A",L12="A"),0,IF(OR(X6&gt;0,H5="A"),IF(L6="A",-L12,IF(L12="A",L6,L6-L12)),0)),0)</f>
        <v>0</v>
      </c>
      <c r="Z6" s="160">
        <f>IF(N9=V6,IF(AND(P9="A",P21="A"),0,IF(OR(Y6&gt;0,L12="A"),IF(P9="A",-P21,IF(P21="A",P9,P9-P21)),0)),0)</f>
        <v>0</v>
      </c>
      <c r="AA6" s="161">
        <f t="shared" ref="AA6:AA19" si="3">SUM(W6:Z6)</f>
        <v>0</v>
      </c>
      <c r="AC6" s="159" t="str">
        <f>'1'!AR6</f>
        <v/>
      </c>
      <c r="AD6" s="161" t="str">
        <f>'1'!AS6</f>
        <v/>
      </c>
      <c r="AF6" s="159" t="str">
        <f>IF(Inscrits!B4=0,"",Inscrits!B4)</f>
        <v>BONTOUX Sylvie</v>
      </c>
      <c r="AG6" s="161" t="e">
        <f t="shared" si="1"/>
        <v>#N/A</v>
      </c>
      <c r="AH6" s="161" t="e">
        <f t="shared" si="2"/>
        <v>#N/A</v>
      </c>
      <c r="AI6" s="162" t="e">
        <f t="shared" si="0"/>
        <v>#N/A</v>
      </c>
    </row>
    <row r="7" spans="2:35" ht="24.95" customHeight="1" thickBot="1" x14ac:dyDescent="0.25">
      <c r="B7" s="154"/>
      <c r="C7" s="155"/>
      <c r="D7" s="156"/>
      <c r="E7" s="228" t="s">
        <v>161</v>
      </c>
      <c r="F7" s="224" t="str">
        <f>IF('2'!B18=0,"",'2'!B18)</f>
        <v/>
      </c>
      <c r="G7" s="167" t="str">
        <f>IF('2'!C18=0,"",'2'!C18)</f>
        <v/>
      </c>
      <c r="H7" s="168"/>
      <c r="I7" s="169"/>
      <c r="J7" s="147"/>
      <c r="K7" s="147"/>
      <c r="L7" s="147"/>
      <c r="M7" s="169"/>
      <c r="N7" s="147"/>
      <c r="O7" s="147"/>
      <c r="P7" s="147"/>
      <c r="Q7" s="157"/>
      <c r="R7" s="147"/>
      <c r="S7" s="147"/>
      <c r="T7" s="84"/>
      <c r="U7" s="98"/>
      <c r="V7" s="175"/>
      <c r="W7" s="176"/>
      <c r="X7" s="176"/>
      <c r="Y7" s="176"/>
      <c r="Z7" s="176"/>
      <c r="AA7" s="176"/>
      <c r="AC7" s="159" t="str">
        <f>'1'!AR7</f>
        <v/>
      </c>
      <c r="AD7" s="161" t="str">
        <f>'1'!AS7</f>
        <v/>
      </c>
      <c r="AF7" s="159" t="str">
        <f>IF(Inscrits!B5=0,"",Inscrits!B5)</f>
        <v>PESQUER Jackie</v>
      </c>
      <c r="AG7" s="161" t="e">
        <f t="shared" si="1"/>
        <v>#N/A</v>
      </c>
      <c r="AH7" s="161" t="e">
        <f t="shared" si="2"/>
        <v>#N/A</v>
      </c>
      <c r="AI7" s="162" t="e">
        <f t="shared" si="0"/>
        <v>#N/A</v>
      </c>
    </row>
    <row r="8" spans="2:35" ht="24.95" customHeight="1" thickBot="1" x14ac:dyDescent="0.25">
      <c r="B8" s="163"/>
      <c r="C8" s="164"/>
      <c r="D8" s="165"/>
      <c r="E8" s="225"/>
      <c r="F8" s="147"/>
      <c r="G8" s="147"/>
      <c r="H8" s="147"/>
      <c r="I8" s="157"/>
      <c r="J8" s="147"/>
      <c r="K8" s="147"/>
      <c r="L8" s="147"/>
      <c r="M8" s="169"/>
      <c r="N8" s="147"/>
      <c r="O8" s="147"/>
      <c r="P8" s="147"/>
      <c r="Q8" s="157"/>
      <c r="R8" s="147"/>
      <c r="S8" s="147"/>
      <c r="T8" s="84"/>
      <c r="U8" s="98"/>
      <c r="V8" s="159" t="str">
        <f>F11</f>
        <v/>
      </c>
      <c r="W8" s="176"/>
      <c r="X8" s="160">
        <f>IF(AND(H11="A",H13="A"),0,IF(H11="A",-H13,IF(H13="A",H11,H11-H13)))</f>
        <v>0</v>
      </c>
      <c r="Y8" s="160">
        <f>IF(J12=V8,IF(AND(L6="A",L12="A"),0,IF(OR(X8&gt;0,H13="A"),IF(L12="A",-L6,IF(L6="A",L12,L12-L6)),0)),0)</f>
        <v>0</v>
      </c>
      <c r="Z8" s="160">
        <f>IF(N9=V8,IF(AND(P9="A",P21="A"),0,IF(OR(Y8&gt;0,L6="A"),IF(P9="A",-P21,IF(P21="A",P9,P9-P21)),0)),0)</f>
        <v>0</v>
      </c>
      <c r="AA8" s="161">
        <f t="shared" si="3"/>
        <v>0</v>
      </c>
      <c r="AC8" s="159" t="str">
        <f>'1'!AR14</f>
        <v/>
      </c>
      <c r="AD8" s="161" t="str">
        <f>'1'!AS14</f>
        <v/>
      </c>
      <c r="AF8" s="159" t="str">
        <f>IF(Inscrits!B6=0,"",Inscrits!B6)</f>
        <v>MANDY Nathalie</v>
      </c>
      <c r="AG8" s="161" t="e">
        <f t="shared" si="1"/>
        <v>#N/A</v>
      </c>
      <c r="AH8" s="161" t="e">
        <f t="shared" si="2"/>
        <v>#N/A</v>
      </c>
      <c r="AI8" s="162" t="e">
        <f t="shared" si="0"/>
        <v>#N/A</v>
      </c>
    </row>
    <row r="9" spans="2:35" ht="24.95" customHeight="1" thickBot="1" x14ac:dyDescent="0.25">
      <c r="B9" s="100"/>
      <c r="C9" s="101"/>
      <c r="D9" s="170"/>
      <c r="E9" s="226"/>
      <c r="F9" s="148"/>
      <c r="G9" s="148"/>
      <c r="H9" s="148"/>
      <c r="I9" s="149"/>
      <c r="J9" s="100" t="s">
        <v>99</v>
      </c>
      <c r="K9" s="101"/>
      <c r="L9" s="148"/>
      <c r="M9" s="171"/>
      <c r="N9" s="166" t="str">
        <f>IF(AND(L6="A",L12="A"),J6,IF(L6="A",J12,IF(L12="A",J6,IF(L6=L12,"",(IF(L6&gt;L12,J6,J12))))))</f>
        <v/>
      </c>
      <c r="O9" s="167" t="str">
        <f>IF(AND(L6="A",L12="A"),K6,IF(L6="A",K12,IF(L12="A",K6,IF(L6=L12,"",(IF(L6&gt;L12,K6,K12))))))</f>
        <v/>
      </c>
      <c r="P9" s="168"/>
      <c r="Q9" s="171"/>
      <c r="R9" s="147"/>
      <c r="S9" s="147"/>
      <c r="T9" s="84"/>
      <c r="V9" s="175"/>
      <c r="W9" s="176"/>
      <c r="X9" s="176"/>
      <c r="Y9" s="176"/>
      <c r="Z9" s="176"/>
      <c r="AA9" s="176"/>
      <c r="AC9" s="159" t="str">
        <f>'1'!AR15</f>
        <v/>
      </c>
      <c r="AD9" s="161" t="str">
        <f>'1'!AS15</f>
        <v/>
      </c>
      <c r="AF9" s="159" t="str">
        <f>IF(Inscrits!B7=0,"",Inscrits!B7)</f>
        <v>SOCKEEL Marie-Pierre</v>
      </c>
      <c r="AG9" s="161" t="e">
        <f t="shared" si="1"/>
        <v>#N/A</v>
      </c>
      <c r="AH9" s="161" t="e">
        <f t="shared" si="2"/>
        <v>#N/A</v>
      </c>
      <c r="AI9" s="162" t="e">
        <f t="shared" si="0"/>
        <v>#N/A</v>
      </c>
    </row>
    <row r="10" spans="2:35" ht="24.95" customHeight="1" thickBot="1" x14ac:dyDescent="0.25">
      <c r="B10" s="154"/>
      <c r="C10" s="155"/>
      <c r="D10" s="156"/>
      <c r="E10" s="225"/>
      <c r="F10" s="147"/>
      <c r="G10" s="158"/>
      <c r="H10" s="147"/>
      <c r="I10" s="157"/>
      <c r="J10" s="147"/>
      <c r="K10" s="158"/>
      <c r="L10" s="147"/>
      <c r="M10" s="169"/>
      <c r="N10" s="147"/>
      <c r="O10" s="158"/>
      <c r="P10" s="147"/>
      <c r="Q10" s="169"/>
      <c r="R10" s="147"/>
      <c r="S10" s="158"/>
      <c r="T10" s="84"/>
      <c r="U10" s="98"/>
      <c r="V10" s="159" t="str">
        <f>F13</f>
        <v/>
      </c>
      <c r="W10" s="176"/>
      <c r="X10" s="160">
        <f>IF(AND(H11="A",H13="A"),0,IF(H13="A",-H11,IF(H11="A",H13,H13-H11)))</f>
        <v>0</v>
      </c>
      <c r="Y10" s="160">
        <f>IF(J12=V10,IF(AND(L6="A",L12="A"),0,IF(OR(X10&gt;0,H11="A"),IF(L12="A",-L6,IF(L6="A",L12,L12-L6)),0)),0)</f>
        <v>0</v>
      </c>
      <c r="Z10" s="160">
        <f>IF(N9=V10,IF(AND(P9="A",P21="A"),0,IF(OR(Y10&gt;0,L6="A"),IF(P9="A",-P21,IF(P21="A",P9,P9-P21)),0)),0)</f>
        <v>0</v>
      </c>
      <c r="AA10" s="161">
        <f t="shared" si="3"/>
        <v>0</v>
      </c>
      <c r="AC10" s="159" t="str">
        <f>'1'!AR16</f>
        <v/>
      </c>
      <c r="AD10" s="161" t="str">
        <f>'1'!AS16</f>
        <v/>
      </c>
      <c r="AF10" s="159" t="str">
        <f>IF(Inscrits!B8=0,"",Inscrits!B8)</f>
        <v>ANDRIAMPININA Nomena</v>
      </c>
      <c r="AG10" s="161" t="e">
        <f t="shared" si="1"/>
        <v>#N/A</v>
      </c>
      <c r="AH10" s="161" t="e">
        <f t="shared" si="2"/>
        <v>#N/A</v>
      </c>
      <c r="AI10" s="162" t="e">
        <f t="shared" si="0"/>
        <v>#N/A</v>
      </c>
    </row>
    <row r="11" spans="2:35" ht="24.95" customHeight="1" thickBot="1" x14ac:dyDescent="0.25">
      <c r="B11" s="163"/>
      <c r="C11" s="164"/>
      <c r="D11" s="165"/>
      <c r="E11" s="227" t="s">
        <v>56</v>
      </c>
      <c r="F11" s="224" t="str">
        <f>IF('1'!U16=0,"",'1'!U16)</f>
        <v/>
      </c>
      <c r="G11" s="167" t="str">
        <f>IF('1'!V16=0,"",'1'!V16)</f>
        <v/>
      </c>
      <c r="H11" s="168"/>
      <c r="I11" s="169"/>
      <c r="J11" s="147"/>
      <c r="K11" s="147"/>
      <c r="L11" s="147"/>
      <c r="M11" s="169"/>
      <c r="N11" s="147"/>
      <c r="O11" s="147"/>
      <c r="P11" s="147"/>
      <c r="Q11" s="169"/>
      <c r="R11" s="147"/>
      <c r="S11" s="147"/>
      <c r="T11" s="84"/>
      <c r="U11" s="98"/>
      <c r="V11" s="175"/>
      <c r="W11" s="176"/>
      <c r="X11" s="176"/>
      <c r="Y11" s="176"/>
      <c r="Z11" s="176"/>
      <c r="AA11" s="176"/>
      <c r="AC11" s="159" t="str">
        <f>'1'!AR17</f>
        <v/>
      </c>
      <c r="AD11" s="161" t="str">
        <f>'1'!AS17</f>
        <v/>
      </c>
      <c r="AF11" s="159" t="str">
        <f>IF(Inscrits!B9=0,"",Inscrits!B9)</f>
        <v>STEENHAUT Clémentine</v>
      </c>
      <c r="AG11" s="161" t="e">
        <f t="shared" si="1"/>
        <v>#N/A</v>
      </c>
      <c r="AH11" s="161" t="e">
        <f t="shared" si="2"/>
        <v>#N/A</v>
      </c>
      <c r="AI11" s="162" t="e">
        <f t="shared" si="0"/>
        <v>#N/A</v>
      </c>
    </row>
    <row r="12" spans="2:35" ht="24.95" customHeight="1" thickBot="1" x14ac:dyDescent="0.25">
      <c r="B12" s="100"/>
      <c r="C12" s="101"/>
      <c r="D12" s="170"/>
      <c r="E12" s="225"/>
      <c r="F12" s="100" t="s">
        <v>96</v>
      </c>
      <c r="G12" s="101"/>
      <c r="H12" s="147"/>
      <c r="I12" s="169"/>
      <c r="J12" s="166" t="str">
        <f>IF(AND(H11="A",H13="A"),F11,IF(H11="A",F13,IF(H13="A",F11,IF(H11=H13,"",(IF(H11&gt;H13,F11,F13))))))</f>
        <v/>
      </c>
      <c r="K12" s="167" t="str">
        <f>IF(AND(H11="A",H13="A"),G11,IF(H11="A",G13,IF(H13="A",G11,IF(H11=H13,"",(IF(H11&gt;H13,G11,G13))))))</f>
        <v/>
      </c>
      <c r="L12" s="168"/>
      <c r="M12" s="169"/>
      <c r="N12" s="147"/>
      <c r="O12" s="147"/>
      <c r="P12" s="147"/>
      <c r="Q12" s="169"/>
      <c r="R12" s="147"/>
      <c r="S12" s="147"/>
      <c r="T12" s="84"/>
      <c r="U12" s="98"/>
      <c r="V12" s="175"/>
      <c r="W12" s="176"/>
      <c r="X12" s="176"/>
      <c r="Y12" s="176"/>
      <c r="Z12" s="176"/>
      <c r="AA12" s="176"/>
      <c r="AC12" s="159" t="str">
        <f>'2'!AR4</f>
        <v/>
      </c>
      <c r="AD12" s="161" t="str">
        <f>'2'!AS4</f>
        <v/>
      </c>
      <c r="AF12" s="159" t="str">
        <f>IF(Inscrits!B10=0,"",Inscrits!B10)</f>
        <v>REDON Valérie</v>
      </c>
      <c r="AG12" s="161" t="e">
        <f t="shared" si="1"/>
        <v>#N/A</v>
      </c>
      <c r="AH12" s="161" t="e">
        <f t="shared" si="2"/>
        <v>#N/A</v>
      </c>
      <c r="AI12" s="162" t="e">
        <f t="shared" si="0"/>
        <v>#N/A</v>
      </c>
    </row>
    <row r="13" spans="2:35" ht="24.95" customHeight="1" thickBot="1" x14ac:dyDescent="0.25">
      <c r="B13" s="154"/>
      <c r="C13" s="155"/>
      <c r="D13" s="156"/>
      <c r="E13" s="228" t="s">
        <v>160</v>
      </c>
      <c r="F13" s="224" t="str">
        <f>IF('2'!B8=0,"",'2'!B8)</f>
        <v/>
      </c>
      <c r="G13" s="167" t="str">
        <f>IF('2'!C8=0,"",'2'!C8)</f>
        <v/>
      </c>
      <c r="H13" s="168"/>
      <c r="I13" s="169"/>
      <c r="J13" s="147"/>
      <c r="K13" s="147"/>
      <c r="L13" s="147"/>
      <c r="M13" s="157"/>
      <c r="N13" s="147"/>
      <c r="O13" s="147"/>
      <c r="P13" s="147"/>
      <c r="Q13" s="169"/>
      <c r="R13" s="147"/>
      <c r="S13" s="147"/>
      <c r="T13" s="84"/>
      <c r="U13" s="98"/>
      <c r="V13" s="159" t="str">
        <f>F17</f>
        <v/>
      </c>
      <c r="W13" s="176"/>
      <c r="X13" s="160">
        <f>IF(AND(H17="A",H19="A"),0,IF(H17="A",-H19,IF(H19="A",H17,H17-H19)))</f>
        <v>0</v>
      </c>
      <c r="Y13" s="160">
        <f>IF(J18=V13,IF(AND(L18="A",L24="A"),0,IF(OR(X13&gt;0,H19="A"),IF(L18="A",-L24,IF(L24="A",L18,L18-L24)),0)),0)</f>
        <v>0</v>
      </c>
      <c r="Z13" s="160">
        <f>IF(N21=V13,IF(AND(P9="A",P21="A"),0,IF(OR(Y13&gt;0,L24="A"),IF(P21="A",-P9,IF(P9="A",P21,P21-P9)),0)),0)</f>
        <v>0</v>
      </c>
      <c r="AA13" s="161">
        <f t="shared" si="3"/>
        <v>0</v>
      </c>
      <c r="AC13" s="159" t="str">
        <f>'2'!AR5</f>
        <v/>
      </c>
      <c r="AD13" s="161" t="str">
        <f>'2'!AS5</f>
        <v/>
      </c>
      <c r="AF13" s="159" t="str">
        <f>IF(Inscrits!B11=0,"",Inscrits!B11)</f>
        <v>RIZZA Magalie</v>
      </c>
      <c r="AG13" s="161" t="e">
        <f t="shared" si="1"/>
        <v>#N/A</v>
      </c>
      <c r="AH13" s="161" t="e">
        <f t="shared" si="2"/>
        <v>#N/A</v>
      </c>
      <c r="AI13" s="162" t="e">
        <f t="shared" si="0"/>
        <v>#N/A</v>
      </c>
    </row>
    <row r="14" spans="2:35" ht="24.95" customHeight="1" thickBot="1" x14ac:dyDescent="0.25">
      <c r="B14" s="163"/>
      <c r="C14" s="164"/>
      <c r="D14" s="165"/>
      <c r="E14" s="225"/>
      <c r="F14" s="147"/>
      <c r="G14" s="147"/>
      <c r="H14" s="147"/>
      <c r="I14" s="157"/>
      <c r="J14" s="147"/>
      <c r="K14" s="147"/>
      <c r="L14" s="147"/>
      <c r="M14" s="157"/>
      <c r="N14" s="147"/>
      <c r="O14" s="147"/>
      <c r="P14" s="147"/>
      <c r="Q14" s="169"/>
      <c r="R14" s="147"/>
      <c r="S14" s="147"/>
      <c r="T14" s="84"/>
      <c r="U14" s="98"/>
      <c r="V14" s="175"/>
      <c r="W14" s="176"/>
      <c r="X14" s="176"/>
      <c r="Y14" s="176"/>
      <c r="Z14" s="176"/>
      <c r="AA14" s="176"/>
      <c r="AC14" s="159" t="str">
        <f>'2'!AR6</f>
        <v/>
      </c>
      <c r="AD14" s="161" t="str">
        <f>'2'!AS6</f>
        <v/>
      </c>
      <c r="AF14" s="159" t="str">
        <f>IF(Inscrits!B12=0,"",Inscrits!B12)</f>
        <v>PAPIN Laetitia</v>
      </c>
      <c r="AG14" s="161" t="e">
        <f t="shared" si="1"/>
        <v>#N/A</v>
      </c>
      <c r="AH14" s="161" t="e">
        <f t="shared" si="2"/>
        <v>#N/A</v>
      </c>
      <c r="AI14" s="162" t="e">
        <f t="shared" si="0"/>
        <v>#N/A</v>
      </c>
    </row>
    <row r="15" spans="2:35" ht="24.95" customHeight="1" thickBot="1" x14ac:dyDescent="0.25">
      <c r="B15" s="100"/>
      <c r="C15" s="101"/>
      <c r="D15" s="170"/>
      <c r="E15" s="226"/>
      <c r="F15" s="148"/>
      <c r="G15" s="148"/>
      <c r="H15" s="148"/>
      <c r="I15" s="149"/>
      <c r="J15" s="148"/>
      <c r="K15" s="148"/>
      <c r="L15" s="148"/>
      <c r="M15" s="149"/>
      <c r="N15" s="100" t="s">
        <v>101</v>
      </c>
      <c r="O15" s="101"/>
      <c r="P15" s="148"/>
      <c r="Q15" s="171"/>
      <c r="R15" s="166" t="str">
        <f>IF(AND(P9="A",P21="A"),N9,IF(P9="A",N21,IF(P21="A",N9,IF(P9=P21,"",(IF(P9&gt;P21,N9,N21))))))</f>
        <v/>
      </c>
      <c r="S15" s="167" t="str">
        <f>IF(AND(P9="F",P21="F"),O9,IF(P9="F",O21,IF(P21="F",O9,IF(P9=P21,"",(IF(P9&gt;P21,O9,O21))))))</f>
        <v/>
      </c>
      <c r="T15" s="84"/>
      <c r="V15" s="159" t="str">
        <f>F19</f>
        <v/>
      </c>
      <c r="W15" s="176"/>
      <c r="X15" s="160">
        <f>IF(AND(H17="A",H19="A"),0,IF(H19="A",-H17,IF(H17="A",H19,H19-H17)))</f>
        <v>0</v>
      </c>
      <c r="Y15" s="160">
        <f>IF(J18=V15,IF(AND(L18="A",L24="A"),0,IF(OR(X15&gt;0,H17="A"),IF(L18="A",-L24,IF(L24="A",L18,L18-L24)),0)),0)</f>
        <v>0</v>
      </c>
      <c r="Z15" s="160">
        <f>IF(N21=V15,IF(AND(P9="A",P21="A"),0,IF(OR(Y15&gt;0,L24="A"),IF(P21="A",-P9,IF(P9="A",P21,P21-P9)),0)),0)</f>
        <v>0</v>
      </c>
      <c r="AA15" s="161">
        <f t="shared" si="3"/>
        <v>0</v>
      </c>
      <c r="AC15" s="159" t="str">
        <f>'2'!AR7</f>
        <v/>
      </c>
      <c r="AD15" s="161" t="str">
        <f>'2'!AS7</f>
        <v/>
      </c>
      <c r="AF15" s="159" t="str">
        <f>IF(Inscrits!B13=0,"",Inscrits!B13)</f>
        <v>CHARLET Céline</v>
      </c>
      <c r="AG15" s="161" t="e">
        <f t="shared" si="1"/>
        <v>#N/A</v>
      </c>
      <c r="AH15" s="161" t="e">
        <f t="shared" si="2"/>
        <v>#N/A</v>
      </c>
      <c r="AI15" s="162" t="e">
        <f t="shared" si="0"/>
        <v>#N/A</v>
      </c>
    </row>
    <row r="16" spans="2:35" ht="24.95" customHeight="1" thickBot="1" x14ac:dyDescent="0.25">
      <c r="B16" s="154"/>
      <c r="C16" s="155"/>
      <c r="D16" s="156"/>
      <c r="E16" s="225"/>
      <c r="F16" s="147"/>
      <c r="G16" s="158"/>
      <c r="H16" s="147"/>
      <c r="I16" s="157"/>
      <c r="J16" s="147"/>
      <c r="K16" s="158"/>
      <c r="L16" s="147"/>
      <c r="M16" s="157"/>
      <c r="N16" s="147"/>
      <c r="O16" s="158"/>
      <c r="P16" s="147"/>
      <c r="Q16" s="169"/>
      <c r="R16" s="147"/>
      <c r="S16" s="158"/>
      <c r="T16" s="84"/>
      <c r="U16" s="98"/>
      <c r="V16" s="175"/>
      <c r="W16" s="176"/>
      <c r="X16" s="176"/>
      <c r="Y16" s="176"/>
      <c r="Z16" s="176"/>
      <c r="AA16" s="176"/>
      <c r="AC16" s="159" t="str">
        <f>'2'!AR14</f>
        <v/>
      </c>
      <c r="AD16" s="161" t="str">
        <f>'2'!AS14</f>
        <v/>
      </c>
      <c r="AF16" s="159" t="str">
        <f>IF(Inscrits!B14=0,"",Inscrits!B14)</f>
        <v>COITTE Delphine</v>
      </c>
      <c r="AG16" s="161" t="e">
        <f t="shared" si="1"/>
        <v>#N/A</v>
      </c>
      <c r="AH16" s="161" t="e">
        <f t="shared" si="2"/>
        <v>#N/A</v>
      </c>
      <c r="AI16" s="162" t="e">
        <f t="shared" si="0"/>
        <v>#N/A</v>
      </c>
    </row>
    <row r="17" spans="2:35" ht="24.95" customHeight="1" thickBot="1" x14ac:dyDescent="0.25">
      <c r="B17" s="163"/>
      <c r="C17" s="164"/>
      <c r="D17" s="165"/>
      <c r="E17" s="227" t="s">
        <v>57</v>
      </c>
      <c r="F17" s="224" t="str">
        <f>IF('2'!U6=0,"",'2'!U6)</f>
        <v/>
      </c>
      <c r="G17" s="167" t="str">
        <f>IF('2'!V6=0,"",'2'!V6)</f>
        <v/>
      </c>
      <c r="H17" s="168"/>
      <c r="I17" s="169"/>
      <c r="J17" s="147"/>
      <c r="K17" s="147"/>
      <c r="L17" s="147"/>
      <c r="M17" s="157"/>
      <c r="N17" s="147"/>
      <c r="O17" s="147"/>
      <c r="P17" s="147"/>
      <c r="Q17" s="169"/>
      <c r="R17" s="147"/>
      <c r="S17" s="147"/>
      <c r="T17" s="84"/>
      <c r="U17" s="98"/>
      <c r="V17" s="159" t="str">
        <f>F23</f>
        <v/>
      </c>
      <c r="W17" s="176"/>
      <c r="X17" s="160">
        <f>IF(AND(H23="A",H25="A"),0,IF(H23="A",-H25,IF(H25="A",H23,H23-H25)))</f>
        <v>0</v>
      </c>
      <c r="Y17" s="160">
        <f>IF(J24=V17,IF(AND(L18="A",L24="A"),0,IF(OR(X17&gt;0,H25="A"),IF(L24="A",-L18,IF(L18="A",L24,L24-L18)),0)),0)</f>
        <v>0</v>
      </c>
      <c r="Z17" s="160">
        <f>IF(N21=V17,IF(AND(P9="A",P21="A"),0,IF(OR(Y17&gt;0,L18="A"),IF(P21="A",-P9,IF(P9="A",P21,P21-P9)),0)),0)</f>
        <v>0</v>
      </c>
      <c r="AA17" s="161">
        <f t="shared" si="3"/>
        <v>0</v>
      </c>
      <c r="AC17" s="159" t="str">
        <f>'2'!AR15</f>
        <v/>
      </c>
      <c r="AD17" s="161" t="str">
        <f>'2'!AS15</f>
        <v/>
      </c>
      <c r="AF17" s="159" t="str">
        <f>IF(Inscrits!B15=0,"",Inscrits!B15)</f>
        <v>FESQUET Emilie</v>
      </c>
      <c r="AG17" s="161" t="e">
        <f t="shared" si="1"/>
        <v>#N/A</v>
      </c>
      <c r="AH17" s="161" t="e">
        <f t="shared" si="2"/>
        <v>#N/A</v>
      </c>
      <c r="AI17" s="162" t="e">
        <f t="shared" si="0"/>
        <v>#N/A</v>
      </c>
    </row>
    <row r="18" spans="2:35" ht="24.95" customHeight="1" thickBot="1" x14ac:dyDescent="0.25">
      <c r="B18" s="100"/>
      <c r="C18" s="101"/>
      <c r="D18" s="170"/>
      <c r="E18" s="225"/>
      <c r="F18" s="100" t="s">
        <v>97</v>
      </c>
      <c r="G18" s="101"/>
      <c r="H18" s="147"/>
      <c r="I18" s="169"/>
      <c r="J18" s="166" t="str">
        <f>IF(AND(H17="A",H19="A"),F17,IF(H17="A",F19,IF(H19="A",F17,IF(H17=H19,"",(IF(H17&gt;H19,F17,F19))))))</f>
        <v/>
      </c>
      <c r="K18" s="167" t="str">
        <f>IF(AND(H17="A",H19="A"),G17,IF(H17="A",G19,IF(H19="A",G17,IF(H17=H19,"",(IF(H17&gt;H19,G17,G19))))))</f>
        <v/>
      </c>
      <c r="L18" s="168"/>
      <c r="M18" s="169"/>
      <c r="N18" s="147"/>
      <c r="O18" s="147"/>
      <c r="P18" s="147"/>
      <c r="Q18" s="169"/>
      <c r="R18" s="147"/>
      <c r="S18" s="147"/>
      <c r="T18" s="84"/>
      <c r="U18" s="98"/>
      <c r="V18" s="175"/>
      <c r="W18" s="176"/>
      <c r="X18" s="176"/>
      <c r="Y18" s="176"/>
      <c r="Z18" s="176"/>
      <c r="AA18" s="176"/>
      <c r="AC18" s="159" t="str">
        <f>'2'!AR16</f>
        <v/>
      </c>
      <c r="AD18" s="161" t="str">
        <f>'2'!AS16</f>
        <v/>
      </c>
      <c r="AF18" s="159" t="str">
        <f>IF(Inscrits!B16=0,"",Inscrits!B16)</f>
        <v>GUIBERT Danielle</v>
      </c>
      <c r="AG18" s="161" t="e">
        <f t="shared" si="1"/>
        <v>#N/A</v>
      </c>
      <c r="AH18" s="161" t="e">
        <f t="shared" si="2"/>
        <v>#N/A</v>
      </c>
      <c r="AI18" s="162" t="e">
        <f t="shared" si="0"/>
        <v>#N/A</v>
      </c>
    </row>
    <row r="19" spans="2:35" ht="24.95" customHeight="1" thickBot="1" x14ac:dyDescent="0.25">
      <c r="B19" s="154"/>
      <c r="C19" s="155"/>
      <c r="D19" s="156"/>
      <c r="E19" s="228" t="s">
        <v>49</v>
      </c>
      <c r="F19" s="224" t="str">
        <f>IF('1'!B18=0,"",'1'!B18)</f>
        <v/>
      </c>
      <c r="G19" s="167" t="str">
        <f>IF('1'!C18=0,"",'1'!C18)</f>
        <v/>
      </c>
      <c r="H19" s="168"/>
      <c r="I19" s="169"/>
      <c r="J19" s="147"/>
      <c r="K19" s="147"/>
      <c r="L19" s="147"/>
      <c r="M19" s="169"/>
      <c r="N19" s="147"/>
      <c r="O19" s="147"/>
      <c r="P19" s="147"/>
      <c r="Q19" s="169"/>
      <c r="R19" s="147"/>
      <c r="S19" s="147"/>
      <c r="T19" s="84"/>
      <c r="U19" s="98"/>
      <c r="V19" s="159" t="str">
        <f>F25</f>
        <v/>
      </c>
      <c r="W19" s="176"/>
      <c r="X19" s="160">
        <f>IF(AND(H23="A",H25="A"),0,IF(H25="A",-H23,IF(H23="A",H25,H25-H23)))</f>
        <v>0</v>
      </c>
      <c r="Y19" s="160">
        <f>IF(J24=V19,IF(AND(L18="A",L24="A"),0,IF(OR(X19&gt;0,H23="A"),IF(L24="A",-L18,IF(L18="A",L24,L24-L18)),0)),0)</f>
        <v>0</v>
      </c>
      <c r="Z19" s="160">
        <f>IF(N21=V19,IF(AND(P9="A",P21="A"),0,IF(OR(Y19&gt;0,L18="A"),IF(P21="A",-P9,IF(P9="A",P21,P21-P9)),0)),0)</f>
        <v>0</v>
      </c>
      <c r="AA19" s="161">
        <f t="shared" si="3"/>
        <v>0</v>
      </c>
      <c r="AC19" s="159" t="str">
        <f>'2'!AR17</f>
        <v/>
      </c>
      <c r="AD19" s="161" t="str">
        <f>'2'!AS17</f>
        <v/>
      </c>
      <c r="AF19" s="159" t="str">
        <f>IF(Inscrits!B17=0,"",Inscrits!B17)</f>
        <v>MARINEAU Delphine</v>
      </c>
      <c r="AG19" s="161" t="e">
        <f t="shared" si="1"/>
        <v>#N/A</v>
      </c>
      <c r="AH19" s="161" t="e">
        <f t="shared" si="2"/>
        <v>#N/A</v>
      </c>
      <c r="AI19" s="162" t="e">
        <f t="shared" si="0"/>
        <v>#N/A</v>
      </c>
    </row>
    <row r="20" spans="2:35" ht="24.95" customHeight="1" thickBot="1" x14ac:dyDescent="0.25">
      <c r="B20" s="163"/>
      <c r="C20" s="164"/>
      <c r="D20" s="165"/>
      <c r="E20" s="225"/>
      <c r="F20" s="147"/>
      <c r="G20" s="147"/>
      <c r="H20" s="147"/>
      <c r="I20" s="157"/>
      <c r="J20" s="147"/>
      <c r="K20" s="147"/>
      <c r="L20" s="147"/>
      <c r="M20" s="169"/>
      <c r="N20" s="147"/>
      <c r="O20" s="147"/>
      <c r="P20" s="147"/>
      <c r="Q20" s="169"/>
      <c r="R20" s="147"/>
      <c r="S20" s="147"/>
      <c r="T20" s="84"/>
      <c r="U20" s="98"/>
      <c r="V20" s="172" t="str">
        <f>'1'!AR14</f>
        <v/>
      </c>
      <c r="W20" s="145"/>
      <c r="X20" s="145"/>
      <c r="Y20" s="145"/>
      <c r="Z20" s="145"/>
      <c r="AA20" s="173">
        <v>0</v>
      </c>
      <c r="AC20" s="175"/>
      <c r="AD20" s="176"/>
      <c r="AF20" s="175"/>
      <c r="AG20" s="176"/>
      <c r="AH20" s="176"/>
      <c r="AI20" s="176"/>
    </row>
    <row r="21" spans="2:35" ht="24.95" customHeight="1" thickBot="1" x14ac:dyDescent="0.25">
      <c r="B21" s="100"/>
      <c r="C21" s="101"/>
      <c r="D21" s="170"/>
      <c r="E21" s="225"/>
      <c r="F21" s="147"/>
      <c r="G21" s="148"/>
      <c r="H21" s="148"/>
      <c r="I21" s="149"/>
      <c r="J21" s="100" t="s">
        <v>100</v>
      </c>
      <c r="K21" s="101"/>
      <c r="L21" s="148"/>
      <c r="M21" s="171"/>
      <c r="N21" s="166" t="str">
        <f>IF(AND(L18="A",L24="A"),J18,IF(L18="A",J24,IF(L24="A",J18,IF(L18=L24,"",(IF(L18&gt;L24,J18,J24))))))</f>
        <v/>
      </c>
      <c r="O21" s="167" t="str">
        <f>IF(AND(L18="A",L24="A"),K18,IF(L18="A",K24,IF(L24="A",K18,IF(L18=L24,"",(IF(L18&gt;L24,K18,K24))))))</f>
        <v/>
      </c>
      <c r="P21" s="168"/>
      <c r="Q21" s="171"/>
      <c r="R21" s="147"/>
      <c r="S21" s="147"/>
      <c r="T21" s="84"/>
      <c r="V21" s="172" t="str">
        <f>'1'!AR15</f>
        <v/>
      </c>
      <c r="W21" s="145"/>
      <c r="X21" s="145"/>
      <c r="Y21" s="145"/>
      <c r="Z21" s="145"/>
      <c r="AA21" s="173">
        <v>0</v>
      </c>
      <c r="AC21" s="175"/>
      <c r="AD21" s="176"/>
      <c r="AF21" s="175"/>
      <c r="AG21" s="176"/>
      <c r="AH21" s="176"/>
      <c r="AI21" s="176"/>
    </row>
    <row r="22" spans="2:35" ht="24.95" customHeight="1" thickBot="1" x14ac:dyDescent="0.25">
      <c r="B22" s="154"/>
      <c r="C22" s="155"/>
      <c r="D22" s="156"/>
      <c r="E22" s="225"/>
      <c r="F22" s="147"/>
      <c r="G22" s="158"/>
      <c r="H22" s="147"/>
      <c r="I22" s="157"/>
      <c r="J22" s="147"/>
      <c r="K22" s="158"/>
      <c r="L22" s="147"/>
      <c r="M22" s="169"/>
      <c r="N22" s="147"/>
      <c r="O22" s="158"/>
      <c r="P22" s="147"/>
      <c r="Q22" s="157"/>
      <c r="R22" s="147"/>
      <c r="S22" s="158"/>
      <c r="T22" s="84"/>
      <c r="U22" s="98"/>
      <c r="V22" s="172" t="str">
        <f>'1'!AR16</f>
        <v/>
      </c>
      <c r="W22" s="145"/>
      <c r="X22" s="145"/>
      <c r="Y22" s="145"/>
      <c r="Z22" s="145"/>
      <c r="AA22" s="173">
        <v>0</v>
      </c>
      <c r="AC22" s="175"/>
      <c r="AD22" s="176"/>
      <c r="AF22" s="175"/>
      <c r="AG22" s="176"/>
      <c r="AH22" s="176"/>
      <c r="AI22" s="176"/>
    </row>
    <row r="23" spans="2:35" ht="24.95" customHeight="1" thickBot="1" x14ac:dyDescent="0.25">
      <c r="B23" s="163"/>
      <c r="C23" s="164"/>
      <c r="D23" s="165"/>
      <c r="E23" s="227" t="s">
        <v>58</v>
      </c>
      <c r="F23" s="224" t="str">
        <f>IF('2'!U16=0,"",'2'!U16)</f>
        <v/>
      </c>
      <c r="G23" s="167" t="str">
        <f>IF('2'!V16=0,"",'2'!V16)</f>
        <v/>
      </c>
      <c r="H23" s="168"/>
      <c r="I23" s="169"/>
      <c r="J23" s="147"/>
      <c r="K23" s="147"/>
      <c r="L23" s="147"/>
      <c r="M23" s="169"/>
      <c r="N23" s="147"/>
      <c r="O23" s="147"/>
      <c r="P23" s="147"/>
      <c r="Q23" s="157"/>
      <c r="R23" s="147"/>
      <c r="S23" s="147"/>
      <c r="T23" s="84"/>
      <c r="U23" s="98"/>
      <c r="V23" s="172" t="str">
        <f>'1'!AR17</f>
        <v/>
      </c>
      <c r="W23" s="145"/>
      <c r="X23" s="145"/>
      <c r="Y23" s="145"/>
      <c r="Z23" s="145"/>
      <c r="AA23" s="173">
        <v>0</v>
      </c>
      <c r="AC23" s="175"/>
      <c r="AD23" s="176"/>
      <c r="AF23" s="175"/>
      <c r="AG23" s="176"/>
      <c r="AH23" s="176"/>
      <c r="AI23" s="176"/>
    </row>
    <row r="24" spans="2:35" ht="24.95" customHeight="1" thickBot="1" x14ac:dyDescent="0.25">
      <c r="B24" s="100"/>
      <c r="C24" s="101"/>
      <c r="D24" s="170"/>
      <c r="E24" s="225"/>
      <c r="F24" s="100" t="s">
        <v>98</v>
      </c>
      <c r="G24" s="101"/>
      <c r="H24" s="147"/>
      <c r="I24" s="169"/>
      <c r="J24" s="166" t="str">
        <f>IF(AND(H23="A",H25="A"),F23,IF(H23="A",F25,IF(H25="A",F23,IF(H23=H25,"",(IF(H23&gt;H25,F23,F25))))))</f>
        <v/>
      </c>
      <c r="K24" s="167" t="str">
        <f>IF(AND(H23="A",H25="A"),G23,IF(H23="A",G25,IF(H25="A",G23,IF(H23=H25,"",(IF(H23&gt;H25,G23,G25))))))</f>
        <v/>
      </c>
      <c r="L24" s="168"/>
      <c r="M24" s="169"/>
      <c r="N24" s="147"/>
      <c r="O24" s="147"/>
      <c r="P24" s="147"/>
      <c r="Q24" s="157"/>
      <c r="R24" s="147"/>
      <c r="S24" s="147"/>
      <c r="T24" s="84"/>
      <c r="U24" s="98"/>
      <c r="V24" s="172" t="str">
        <f>'2'!AR14</f>
        <v/>
      </c>
      <c r="AA24" s="173">
        <v>0</v>
      </c>
      <c r="AC24" s="175"/>
      <c r="AD24" s="176"/>
      <c r="AF24" s="175"/>
      <c r="AG24" s="176"/>
      <c r="AH24" s="176"/>
      <c r="AI24" s="176"/>
    </row>
    <row r="25" spans="2:35" ht="24.95" customHeight="1" thickBot="1" x14ac:dyDescent="0.25">
      <c r="B25" s="154"/>
      <c r="C25" s="155"/>
      <c r="D25" s="156"/>
      <c r="E25" s="228" t="s">
        <v>159</v>
      </c>
      <c r="F25" s="224" t="str">
        <f>IF('1'!B8=0,"",'1'!B8)</f>
        <v/>
      </c>
      <c r="G25" s="167" t="str">
        <f>IF('1'!C8=0,"",'1'!C8)</f>
        <v/>
      </c>
      <c r="H25" s="168"/>
      <c r="I25" s="169"/>
      <c r="J25" s="147"/>
      <c r="K25" s="147"/>
      <c r="L25" s="147"/>
      <c r="M25" s="157"/>
      <c r="N25" s="147"/>
      <c r="O25" s="147"/>
      <c r="P25" s="147"/>
      <c r="Q25" s="157"/>
      <c r="R25" s="147"/>
      <c r="S25" s="147"/>
      <c r="T25" s="84"/>
      <c r="U25" s="98"/>
      <c r="V25" s="172" t="str">
        <f>'2'!AR15</f>
        <v/>
      </c>
      <c r="AA25" s="173">
        <v>0</v>
      </c>
      <c r="AC25" s="175"/>
      <c r="AD25" s="176"/>
      <c r="AF25" s="175"/>
      <c r="AG25" s="176"/>
      <c r="AH25" s="176"/>
      <c r="AI25" s="176"/>
    </row>
    <row r="26" spans="2:35" ht="24.95" customHeight="1" thickBot="1" x14ac:dyDescent="0.25">
      <c r="B26" s="163"/>
      <c r="C26" s="164"/>
      <c r="D26" s="165"/>
      <c r="E26" s="223"/>
      <c r="F26" s="147"/>
      <c r="G26" s="147"/>
      <c r="H26" s="147"/>
      <c r="I26" s="157"/>
      <c r="J26" s="147"/>
      <c r="K26" s="147"/>
      <c r="L26" s="147"/>
      <c r="M26" s="157"/>
      <c r="N26" s="147"/>
      <c r="O26" s="147"/>
      <c r="P26" s="147"/>
      <c r="Q26" s="157"/>
      <c r="R26" s="147"/>
      <c r="S26" s="147"/>
      <c r="T26" s="84"/>
      <c r="U26" s="98"/>
      <c r="V26" s="172" t="str">
        <f>'2'!AR16</f>
        <v/>
      </c>
      <c r="AA26" s="173">
        <v>0</v>
      </c>
      <c r="AC26" s="175"/>
      <c r="AD26" s="176"/>
      <c r="AF26" s="175"/>
      <c r="AG26" s="176"/>
      <c r="AH26" s="176"/>
      <c r="AI26" s="176"/>
    </row>
    <row r="27" spans="2:35" ht="24.75" customHeight="1" x14ac:dyDescent="0.2">
      <c r="V27" s="172" t="str">
        <f>'2'!AR17</f>
        <v/>
      </c>
      <c r="AA27" s="173">
        <v>0</v>
      </c>
      <c r="AC27" s="175"/>
      <c r="AD27" s="176"/>
      <c r="AF27" s="175"/>
      <c r="AG27" s="176"/>
      <c r="AH27" s="176"/>
      <c r="AI27" s="176"/>
    </row>
    <row r="28" spans="2:35" ht="24.75" customHeight="1" x14ac:dyDescent="0.2">
      <c r="V28" s="175"/>
      <c r="W28" s="177"/>
      <c r="X28" s="177"/>
      <c r="Y28" s="177"/>
      <c r="Z28" s="177"/>
      <c r="AA28" s="176"/>
      <c r="AC28" s="175"/>
      <c r="AD28" s="176"/>
      <c r="AF28" s="175"/>
      <c r="AG28" s="176"/>
      <c r="AH28" s="176"/>
      <c r="AI28" s="176"/>
    </row>
    <row r="29" spans="2:35" ht="24.75" customHeight="1" x14ac:dyDescent="0.2">
      <c r="V29" s="175"/>
      <c r="W29" s="177"/>
      <c r="X29" s="177"/>
      <c r="Y29" s="177"/>
      <c r="Z29" s="177"/>
      <c r="AA29" s="176"/>
      <c r="AC29" s="175"/>
      <c r="AD29" s="176"/>
      <c r="AF29" s="175"/>
      <c r="AG29" s="176"/>
      <c r="AH29" s="176"/>
      <c r="AI29" s="176"/>
    </row>
    <row r="30" spans="2:35" ht="24.75" customHeight="1" x14ac:dyDescent="0.2">
      <c r="V30" s="175"/>
      <c r="W30" s="177"/>
      <c r="X30" s="177"/>
      <c r="Y30" s="177"/>
      <c r="Z30" s="177"/>
      <c r="AA30" s="176"/>
      <c r="AC30" s="175"/>
      <c r="AD30" s="176"/>
      <c r="AF30" s="175"/>
      <c r="AG30" s="176"/>
      <c r="AH30" s="176"/>
      <c r="AI30" s="176"/>
    </row>
    <row r="31" spans="2:35" ht="24.75" customHeight="1" x14ac:dyDescent="0.2">
      <c r="V31" s="175"/>
      <c r="W31" s="177"/>
      <c r="X31" s="177"/>
      <c r="Y31" s="177"/>
      <c r="Z31" s="177"/>
      <c r="AA31" s="176"/>
      <c r="AC31" s="175"/>
      <c r="AD31" s="176"/>
      <c r="AF31" s="175"/>
      <c r="AG31" s="176"/>
      <c r="AH31" s="176"/>
      <c r="AI31" s="176"/>
    </row>
    <row r="32" spans="2:35" ht="24.75" customHeight="1" x14ac:dyDescent="0.2">
      <c r="V32" s="175"/>
      <c r="W32" s="177"/>
      <c r="X32" s="177"/>
      <c r="Y32" s="177"/>
      <c r="Z32" s="177"/>
      <c r="AA32" s="176"/>
      <c r="AC32" s="175"/>
      <c r="AD32" s="176"/>
      <c r="AF32" s="175"/>
      <c r="AG32" s="176"/>
      <c r="AH32" s="176"/>
      <c r="AI32" s="176"/>
    </row>
    <row r="33" spans="22:35" ht="24.75" customHeight="1" x14ac:dyDescent="0.2">
      <c r="V33" s="175"/>
      <c r="W33" s="177"/>
      <c r="X33" s="177"/>
      <c r="Y33" s="177"/>
      <c r="Z33" s="177"/>
      <c r="AA33" s="176"/>
      <c r="AC33" s="175"/>
      <c r="AD33" s="176"/>
      <c r="AF33" s="175"/>
      <c r="AG33" s="176"/>
      <c r="AH33" s="176"/>
      <c r="AI33" s="176"/>
    </row>
    <row r="34" spans="22:35" ht="24.75" customHeight="1" x14ac:dyDescent="0.2">
      <c r="V34" s="175"/>
      <c r="W34" s="177"/>
      <c r="X34" s="177"/>
      <c r="Y34" s="177"/>
      <c r="Z34" s="177"/>
      <c r="AA34" s="176"/>
      <c r="AC34" s="175"/>
      <c r="AD34" s="176"/>
      <c r="AF34" s="175"/>
      <c r="AG34" s="176"/>
      <c r="AH34" s="176"/>
      <c r="AI34" s="176"/>
    </row>
    <row r="35" spans="22:35" ht="24.75" customHeight="1" x14ac:dyDescent="0.2">
      <c r="V35" s="175"/>
      <c r="W35" s="177"/>
      <c r="X35" s="177"/>
      <c r="Y35" s="177"/>
      <c r="Z35" s="177"/>
      <c r="AA35" s="176"/>
      <c r="AC35" s="175"/>
      <c r="AD35" s="176"/>
      <c r="AF35" s="175"/>
      <c r="AG35" s="176"/>
      <c r="AH35" s="176"/>
      <c r="AI35" s="176"/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16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17"/>
  <sheetViews>
    <sheetView showGridLines="0" workbookViewId="0">
      <selection activeCell="K2" sqref="K2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4" customFormat="1" ht="16.5" x14ac:dyDescent="0.35">
      <c r="C1" s="43" t="s">
        <v>28</v>
      </c>
      <c r="D1" s="213" t="s">
        <v>15</v>
      </c>
      <c r="E1" s="213" t="s">
        <v>18</v>
      </c>
      <c r="F1" s="213" t="s">
        <v>19</v>
      </c>
      <c r="G1" s="213" t="s">
        <v>20</v>
      </c>
      <c r="H1" s="213" t="s">
        <v>157</v>
      </c>
      <c r="I1" s="213" t="s">
        <v>158</v>
      </c>
      <c r="J1" s="213" t="s">
        <v>61</v>
      </c>
      <c r="K1" s="213" t="s">
        <v>63</v>
      </c>
      <c r="L1" s="213" t="s">
        <v>48</v>
      </c>
      <c r="P1" s="57"/>
    </row>
    <row r="2" spans="3:16" x14ac:dyDescent="0.3">
      <c r="C2" s="3">
        <v>1</v>
      </c>
      <c r="D2" s="216" t="str">
        <f>Final!R15</f>
        <v/>
      </c>
      <c r="E2" s="214"/>
      <c r="F2" s="215">
        <f>IF(ISNA(IF(LEFT(Division,2)="R1",VLOOKUP(E2,Points!$A$2:$D$20,2,FALSE),IF(LEFT(Division,2)="R2",VLOOKUP(E2,Points!$A$2:$D$20,3,FALSE),IF(LEFT(Division,2)="R3",VLOOKUP(E2,Points!$A$2:$D$20,4,FALSE),"DIV ???")))),0,IF(LEFT(Division,2)="R1",VLOOKUP(E2,Points!$A$2:$D$20,2,FALSE),IF(LEFT(Division,2)="R2",VLOOKUP(E2,Points!$A$2:$D$20,3,FALSE),IF(LEFT(Division,2)="R3",VLOOKUP(E2,Points!$A$2:$D$20,4,FALSE),"DIV ???"))))</f>
        <v>0</v>
      </c>
      <c r="G2" s="216" t="str">
        <f>IF(ISERROR(VLOOKUP(D2,Final!$AF$4:$AI$35,4,FALSE)),"",VLOOKUP(D2,Final!$AF$4:$AI$35,4,FALSE))</f>
        <v/>
      </c>
      <c r="H2" s="216"/>
      <c r="I2" s="216"/>
      <c r="J2" s="216" t="str">
        <f>IF(ISNA(VLOOKUP(D2,Inscrits!B:F,3,FALSE)),"",VLOOKUP(D2,Inscrits!B:F,3,FALSE))</f>
        <v/>
      </c>
      <c r="K2" s="216" t="str">
        <f>IF(ISNA(VLOOKUP(D2,Inscrits!B:F,4,FALSE)),"",VLOOKUP(D2,Inscrits!B:F,4,FALSE))</f>
        <v/>
      </c>
      <c r="L2" s="216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58"/>
    </row>
    <row r="3" spans="3:16" x14ac:dyDescent="0.3">
      <c r="C3" s="3">
        <v>2</v>
      </c>
      <c r="D3" s="216" t="str">
        <f>IF(Final!P21="A",Final!N21,IF(Final!P9="A",Final!N9,IF(Final!P9&lt;Final!P21,Final!N9,Final!N21)))</f>
        <v/>
      </c>
      <c r="E3" s="214"/>
      <c r="F3" s="215">
        <f>IF(ISNA(IF(LEFT(Division,2)="R1",VLOOKUP(E3,Points!$A$2:$D$20,2,FALSE),IF(LEFT(Division,2)="R2",VLOOKUP(E3,Points!$A$2:$D$20,3,FALSE),IF(LEFT(Division,2)="R3",VLOOKUP(E3,Points!$A$2:$D$20,4,FALSE),"DIV ???")))),0,IF(LEFT(Division,2)="R1",VLOOKUP(E3,Points!$A$2:$D$20,2,FALSE),IF(LEFT(Division,2)="R2",VLOOKUP(E3,Points!$A$2:$D$20,3,FALSE),IF(LEFT(Division,2)="R3",VLOOKUP(E3,Points!$A$2:$D$20,4,FALSE),"DIV ???"))))</f>
        <v>0</v>
      </c>
      <c r="G3" s="216" t="str">
        <f>IF(ISERROR(VLOOKUP(D3,Final!$AF$4:$AI$35,4,FALSE)),"",VLOOKUP(D3,Final!$AF$4:$AI$35,4,FALSE))</f>
        <v/>
      </c>
      <c r="H3" s="216"/>
      <c r="I3" s="216"/>
      <c r="J3" s="216" t="str">
        <f>IF(ISNA(VLOOKUP(D3,Inscrits!B:F,3,FALSE)),"",VLOOKUP(D3,Inscrits!B:F,3,FALSE))</f>
        <v/>
      </c>
      <c r="K3" s="216" t="str">
        <f>IF(ISNA(VLOOKUP(D3,Inscrits!B:F,4,FALSE)),"",VLOOKUP(D3,Inscrits!B:F,4,FALSE))</f>
        <v/>
      </c>
      <c r="L3" s="216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58"/>
    </row>
    <row r="4" spans="3:16" x14ac:dyDescent="0.3">
      <c r="C4" s="3">
        <v>4</v>
      </c>
      <c r="D4" s="216" t="str">
        <f>IF(Final!L24="A",Final!J24,IF(Final!L18="A",Final!J18,IF(Final!L18&lt;Final!L24,Final!J18,Final!J24)))</f>
        <v/>
      </c>
      <c r="E4" s="214"/>
      <c r="F4" s="215">
        <f>IF(ISNA(IF(LEFT(Division,2)="R1",VLOOKUP(E4,Points!$A$2:$D$20,2,FALSE),IF(LEFT(Division,2)="R2",VLOOKUP(E4,Points!$A$2:$D$20,3,FALSE),IF(LEFT(Division,2)="R3",VLOOKUP(E4,Points!$A$2:$D$20,4,FALSE),"DIV ???")))),0,IF(LEFT(Division,2)="R1",VLOOKUP(E4,Points!$A$2:$D$20,2,FALSE),IF(LEFT(Division,2)="R2",VLOOKUP(E4,Points!$A$2:$D$20,3,FALSE),IF(LEFT(Division,2)="R3",VLOOKUP(E4,Points!$A$2:$D$20,4,FALSE),"DIV ???"))))</f>
        <v>0</v>
      </c>
      <c r="G4" s="216" t="str">
        <f>IF(ISERROR(VLOOKUP(D4,Final!$AF$4:$AI$35,4,FALSE)),"",VLOOKUP(D4,Final!$AF$4:$AI$35,4,FALSE))</f>
        <v/>
      </c>
      <c r="H4" s="216"/>
      <c r="I4" s="216"/>
      <c r="J4" s="216" t="str">
        <f>IF(ISNA(VLOOKUP(D4,Inscrits!B:F,3,FALSE)),"",VLOOKUP(D4,Inscrits!B:F,3,FALSE))</f>
        <v/>
      </c>
      <c r="K4" s="216" t="str">
        <f>IF(ISNA(VLOOKUP(D4,Inscrits!B:F,4,FALSE)),"",VLOOKUP(D4,Inscrits!B:F,4,FALSE))</f>
        <v/>
      </c>
      <c r="L4" s="216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58"/>
    </row>
    <row r="5" spans="3:16" x14ac:dyDescent="0.3">
      <c r="C5" s="3">
        <v>3</v>
      </c>
      <c r="D5" s="216" t="str">
        <f>IF(Final!L12="A",Final!J12,IF(Final!L6="A",Final!J6,IF(Final!L6&lt;Final!L12,Final!J6,Final!J12)))</f>
        <v/>
      </c>
      <c r="E5" s="214"/>
      <c r="F5" s="215">
        <f>IF(ISNA(IF(LEFT(Division,2)="R1",VLOOKUP(E5,Points!$A$2:$D$20,2,FALSE),IF(LEFT(Division,2)="R2",VLOOKUP(E5,Points!$A$2:$D$20,3,FALSE),IF(LEFT(Division,2)="R3",VLOOKUP(E5,Points!$A$2:$D$20,4,FALSE),"DIV ???")))),0,IF(LEFT(Division,2)="R1",VLOOKUP(E5,Points!$A$2:$D$20,2,FALSE),IF(LEFT(Division,2)="R2",VLOOKUP(E5,Points!$A$2:$D$20,3,FALSE),IF(LEFT(Division,2)="R3",VLOOKUP(E5,Points!$A$2:$D$20,4,FALSE),"DIV ???"))))</f>
        <v>0</v>
      </c>
      <c r="G5" s="216" t="str">
        <f>IF(ISERROR(VLOOKUP(D5,Final!$AF$4:$AI$35,4,FALSE)),"",VLOOKUP(D5,Final!$AF$4:$AI$35,4,FALSE))</f>
        <v/>
      </c>
      <c r="H5" s="216"/>
      <c r="I5" s="216"/>
      <c r="J5" s="216" t="str">
        <f>IF(ISNA(VLOOKUP(D5,Inscrits!B:F,3,FALSE)),"",VLOOKUP(D5,Inscrits!B:F,3,FALSE))</f>
        <v/>
      </c>
      <c r="K5" s="216" t="str">
        <f>IF(ISNA(VLOOKUP(D5,Inscrits!B:F,4,FALSE)),"",VLOOKUP(D5,Inscrits!B:F,4,FALSE))</f>
        <v/>
      </c>
      <c r="L5" s="216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5</v>
      </c>
      <c r="D6" s="216" t="str">
        <f>IF(Final!H7="A",Final!F7,IF(Final!H5="A",Final!F5,IF(Final!H5&lt;Final!H7,Final!F5,Final!F7)))</f>
        <v/>
      </c>
      <c r="E6" s="214"/>
      <c r="F6" s="215">
        <f>IF(ISNA(IF(LEFT(Division,2)="R1",VLOOKUP(E6,Points!$A$2:$D$20,2,FALSE),IF(LEFT(Division,2)="R2",VLOOKUP(E6,Points!$A$2:$D$20,3,FALSE),IF(LEFT(Division,2)="R3",VLOOKUP(E6,Points!$A$2:$D$20,4,FALSE),"DIV ???")))),0,IF(LEFT(Division,2)="R1",VLOOKUP(E6,Points!$A$2:$D$20,2,FALSE),IF(LEFT(Division,2)="R2",VLOOKUP(E6,Points!$A$2:$D$20,3,FALSE),IF(LEFT(Division,2)="R3",VLOOKUP(E6,Points!$A$2:$D$20,4,FALSE),"DIV ???"))))</f>
        <v>0</v>
      </c>
      <c r="G6" s="216" t="str">
        <f>IF(ISERROR(VLOOKUP(D6,Final!$AF$4:$AI$35,4,FALSE)),"",VLOOKUP(D6,Final!$AF$4:$AI$35,4,FALSE))</f>
        <v/>
      </c>
      <c r="H6" s="216"/>
      <c r="I6" s="216"/>
      <c r="J6" s="216" t="str">
        <f>IF(ISNA(VLOOKUP(D6,Inscrits!B:F,3,FALSE)),"",VLOOKUP(D6,Inscrits!B:F,3,FALSE))</f>
        <v/>
      </c>
      <c r="K6" s="216" t="str">
        <f>IF(ISNA(VLOOKUP(D6,Inscrits!B:F,4,FALSE)),"",VLOOKUP(D6,Inscrits!B:F,4,FALSE))</f>
        <v/>
      </c>
      <c r="L6" s="216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6</v>
      </c>
      <c r="D7" s="216" t="str">
        <f>IF(Final!H13="A",Final!F13,IF(Final!H11="A",Final!F11,IF(Final!H11&lt;Final!H13,Final!F11,Final!F13)))</f>
        <v/>
      </c>
      <c r="E7" s="214"/>
      <c r="F7" s="215">
        <f>IF(ISNA(IF(LEFT(Division,2)="R1",VLOOKUP(E7,Points!$A$2:$D$20,2,FALSE),IF(LEFT(Division,2)="R2",VLOOKUP(E7,Points!$A$2:$D$20,3,FALSE),IF(LEFT(Division,2)="R3",VLOOKUP(E7,Points!$A$2:$D$20,4,FALSE),"DIV ???")))),0,IF(LEFT(Division,2)="R1",VLOOKUP(E7,Points!$A$2:$D$20,2,FALSE),IF(LEFT(Division,2)="R2",VLOOKUP(E7,Points!$A$2:$D$20,3,FALSE),IF(LEFT(Division,2)="R3",VLOOKUP(E7,Points!$A$2:$D$20,4,FALSE),"DIV ???"))))</f>
        <v>0</v>
      </c>
      <c r="G7" s="216" t="str">
        <f>IF(ISERROR(VLOOKUP(D7,Final!$AF$4:$AI$35,4,FALSE)),"",VLOOKUP(D7,Final!$AF$4:$AI$35,4,FALSE))</f>
        <v/>
      </c>
      <c r="H7" s="216"/>
      <c r="I7" s="216"/>
      <c r="J7" s="216" t="str">
        <f>IF(ISNA(VLOOKUP(D7,Inscrits!B:F,3,FALSE)),"",VLOOKUP(D7,Inscrits!B:F,3,FALSE))</f>
        <v/>
      </c>
      <c r="K7" s="216" t="str">
        <f>IF(ISNA(VLOOKUP(D7,Inscrits!B:F,4,FALSE)),"",VLOOKUP(D7,Inscrits!B:F,4,FALSE))</f>
        <v/>
      </c>
      <c r="L7" s="216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8</v>
      </c>
      <c r="D8" s="216" t="str">
        <f>IF(Final!H25="A",Final!F25,IF(Final!H23="A",Final!F23,IF(Final!H23&lt;Final!H25,Final!F23,Final!F25)))</f>
        <v/>
      </c>
      <c r="E8" s="214"/>
      <c r="F8" s="215">
        <f>IF(ISNA(IF(LEFT(Division,2)="R1",VLOOKUP(E8,Points!$A$2:$D$20,2,FALSE),IF(LEFT(Division,2)="R2",VLOOKUP(E8,Points!$A$2:$D$20,3,FALSE),IF(LEFT(Division,2)="R3",VLOOKUP(E8,Points!$A$2:$D$20,4,FALSE),"DIV ???")))),0,IF(LEFT(Division,2)="R1",VLOOKUP(E8,Points!$A$2:$D$20,2,FALSE),IF(LEFT(Division,2)="R2",VLOOKUP(E8,Points!$A$2:$D$20,3,FALSE),IF(LEFT(Division,2)="R3",VLOOKUP(E8,Points!$A$2:$D$20,4,FALSE),"DIV ???"))))</f>
        <v>0</v>
      </c>
      <c r="G8" s="216" t="str">
        <f>IF(ISERROR(VLOOKUP(D8,Final!$AF$4:$AI$35,4,FALSE)),"",VLOOKUP(D8,Final!$AF$4:$AI$35,4,FALSE))</f>
        <v/>
      </c>
      <c r="H8" s="216"/>
      <c r="I8" s="216"/>
      <c r="J8" s="216" t="str">
        <f>IF(ISNA(VLOOKUP(D8,Inscrits!B:F,3,FALSE)),"",VLOOKUP(D8,Inscrits!B:F,3,FALSE))</f>
        <v/>
      </c>
      <c r="K8" s="216" t="str">
        <f>IF(ISNA(VLOOKUP(D8,Inscrits!B:F,4,FALSE)),"",VLOOKUP(D8,Inscrits!B:F,4,FALSE))</f>
        <v/>
      </c>
      <c r="L8" s="216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7</v>
      </c>
      <c r="D9" s="216" t="str">
        <f>IF(Final!H19="A",Final!F19,IF(Final!H17="A",Final!F17,IF(Final!H17&lt;Final!H19,Final!F17,Final!F19)))</f>
        <v/>
      </c>
      <c r="E9" s="214"/>
      <c r="F9" s="215">
        <f>IF(ISNA(IF(LEFT(Division,2)="R1",VLOOKUP(E9,Points!$A$2:$D$20,2,FALSE),IF(LEFT(Division,2)="R2",VLOOKUP(E9,Points!$A$2:$D$20,3,FALSE),IF(LEFT(Division,2)="R3",VLOOKUP(E9,Points!$A$2:$D$20,4,FALSE),"DIV ???")))),0,IF(LEFT(Division,2)="R1",VLOOKUP(E9,Points!$A$2:$D$20,2,FALSE),IF(LEFT(Division,2)="R2",VLOOKUP(E9,Points!$A$2:$D$20,3,FALSE),IF(LEFT(Division,2)="R3",VLOOKUP(E9,Points!$A$2:$D$20,4,FALSE),"DIV ???"))))</f>
        <v>0</v>
      </c>
      <c r="G9" s="216" t="str">
        <f>IF(ISERROR(VLOOKUP(D9,Final!$AF$4:$AI$35,4,FALSE)),"",VLOOKUP(D9,Final!$AF$4:$AI$35,4,FALSE))</f>
        <v/>
      </c>
      <c r="H9" s="216"/>
      <c r="I9" s="216"/>
      <c r="J9" s="216" t="str">
        <f>IF(ISNA(VLOOKUP(D9,Inscrits!B:F,3,FALSE)),"",VLOOKUP(D9,Inscrits!B:F,3,FALSE))</f>
        <v/>
      </c>
      <c r="K9" s="216" t="str">
        <f>IF(ISNA(VLOOKUP(D9,Inscrits!B:F,4,FALSE)),"",VLOOKUP(D9,Inscrits!B:F,4,FALSE))</f>
        <v/>
      </c>
      <c r="L9" s="216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9</v>
      </c>
      <c r="D10" s="216" t="str">
        <f>'1'!AR14</f>
        <v/>
      </c>
      <c r="E10" s="214"/>
      <c r="F10" s="215">
        <f>IF(ISNA(IF(LEFT(Division,2)="R1",VLOOKUP(E10,Points!$A$2:$D$20,2,FALSE),IF(LEFT(Division,2)="R2",VLOOKUP(E10,Points!$A$2:$D$20,3,FALSE),IF(LEFT(Division,2)="R3",VLOOKUP(E10,Points!$A$2:$D$20,4,FALSE),"DIV ???")))),0,IF(LEFT(Division,2)="R1",VLOOKUP(E10,Points!$A$2:$D$20,2,FALSE),IF(LEFT(Division,2)="R2",VLOOKUP(E10,Points!$A$2:$D$20,3,FALSE),IF(LEFT(Division,2)="R3",VLOOKUP(E10,Points!$A$2:$D$20,4,FALSE),"DIV ???"))))</f>
        <v>0</v>
      </c>
      <c r="G10" s="216" t="str">
        <f>IF(ISERROR(VLOOKUP(D10,Final!$AF$4:$AI$35,4,FALSE)),"",VLOOKUP(D10,Final!$AF$4:$AI$35,4,FALSE))</f>
        <v/>
      </c>
      <c r="H10" s="216"/>
      <c r="I10" s="216"/>
      <c r="J10" s="216" t="str">
        <f>IF(ISNA(VLOOKUP(D10,Inscrits!B:F,3,FALSE)),"",VLOOKUP(D10,Inscrits!B:F,3,FALSE))</f>
        <v/>
      </c>
      <c r="K10" s="216" t="str">
        <f>IF(ISNA(VLOOKUP(D10,Inscrits!B:F,4,FALSE)),"",VLOOKUP(D10,Inscrits!B:F,4,FALSE))</f>
        <v/>
      </c>
      <c r="L10" s="216" t="str">
        <f>Division</f>
        <v>R1</v>
      </c>
    </row>
    <row r="11" spans="3:16" x14ac:dyDescent="0.3">
      <c r="C11" s="3">
        <v>11</v>
      </c>
      <c r="D11" s="216" t="str">
        <f>'2'!AR14</f>
        <v/>
      </c>
      <c r="E11" s="214"/>
      <c r="F11" s="215">
        <f>IF(ISNA(IF(LEFT(Division,2)="R1",VLOOKUP(E11,Points!$A$2:$D$20,2,FALSE),IF(LEFT(Division,2)="R2",VLOOKUP(E11,Points!$A$2:$D$20,3,FALSE),IF(LEFT(Division,2)="R3",VLOOKUP(E11,Points!$A$2:$D$20,4,FALSE),"DIV ???")))),0,IF(LEFT(Division,2)="R1",VLOOKUP(E11,Points!$A$2:$D$20,2,FALSE),IF(LEFT(Division,2)="R2",VLOOKUP(E11,Points!$A$2:$D$20,3,FALSE),IF(LEFT(Division,2)="R3",VLOOKUP(E11,Points!$A$2:$D$20,4,FALSE),"DIV ???"))))</f>
        <v>0</v>
      </c>
      <c r="G11" s="216" t="str">
        <f>IF(ISERROR(VLOOKUP(D11,Final!$AF$4:$AI$35,4,FALSE)),"",VLOOKUP(D11,Final!$AF$4:$AI$35,4,FALSE))</f>
        <v/>
      </c>
      <c r="H11" s="216"/>
      <c r="I11" s="216"/>
      <c r="J11" s="216" t="str">
        <f>IF(ISNA(VLOOKUP(D11,Inscrits!B:F,3,FALSE)),"",VLOOKUP(D11,Inscrits!B:F,3,FALSE))</f>
        <v/>
      </c>
      <c r="K11" s="216" t="str">
        <f>IF(ISNA(VLOOKUP(D11,Inscrits!B:F,4,FALSE)),"",VLOOKUP(D11,Inscrits!B:F,4,FALSE))</f>
        <v/>
      </c>
      <c r="L11" s="216" t="str">
        <f>Division</f>
        <v>R1</v>
      </c>
    </row>
    <row r="12" spans="3:16" x14ac:dyDescent="0.3">
      <c r="C12" s="3">
        <v>12</v>
      </c>
      <c r="D12" s="216" t="str">
        <f>'2'!AR15</f>
        <v/>
      </c>
      <c r="E12" s="214"/>
      <c r="F12" s="215">
        <f>IF(ISNA(IF(LEFT(Division,2)="R1",VLOOKUP(E12,Points!$A$2:$D$20,2,FALSE),IF(LEFT(Division,2)="R2",VLOOKUP(E12,Points!$A$2:$D$20,3,FALSE),IF(LEFT(Division,2)="R3",VLOOKUP(E12,Points!$A$2:$D$20,4,FALSE),"DIV ???")))),0,IF(LEFT(Division,2)="R1",VLOOKUP(E12,Points!$A$2:$D$20,2,FALSE),IF(LEFT(Division,2)="R2",VLOOKUP(E12,Points!$A$2:$D$20,3,FALSE),IF(LEFT(Division,2)="R3",VLOOKUP(E12,Points!$A$2:$D$20,4,FALSE),"DIV ???"))))</f>
        <v>0</v>
      </c>
      <c r="G12" s="216" t="str">
        <f>IF(ISERROR(VLOOKUP(D12,Final!$AF$4:$AI$35,4,FALSE)),"",VLOOKUP(D12,Final!$AF$4:$AI$35,4,FALSE))</f>
        <v/>
      </c>
      <c r="H12" s="216"/>
      <c r="I12" s="216"/>
      <c r="J12" s="216" t="str">
        <f>IF(ISNA(VLOOKUP(D12,Inscrits!B:F,3,FALSE)),"",VLOOKUP(D12,Inscrits!B:F,3,FALSE))</f>
        <v/>
      </c>
      <c r="K12" s="216" t="str">
        <f>IF(ISNA(VLOOKUP(D12,Inscrits!B:F,4,FALSE)),"",VLOOKUP(D12,Inscrits!B:F,4,FALSE))</f>
        <v/>
      </c>
      <c r="L12" s="216" t="str">
        <f>Division</f>
        <v>R1</v>
      </c>
    </row>
    <row r="13" spans="3:16" x14ac:dyDescent="0.3">
      <c r="C13" s="3">
        <v>10</v>
      </c>
      <c r="D13" s="216" t="str">
        <f>'1'!AR15</f>
        <v/>
      </c>
      <c r="E13" s="214"/>
      <c r="F13" s="215">
        <f>IF(ISNA(IF(LEFT(Division,2)="R1",VLOOKUP(E13,Points!$A$2:$D$20,2,FALSE),IF(LEFT(Division,2)="R2",VLOOKUP(E13,Points!$A$2:$D$20,3,FALSE),IF(LEFT(Division,2)="R3",VLOOKUP(E13,Points!$A$2:$D$20,4,FALSE),"DIV ???")))),0,IF(LEFT(Division,2)="R1",VLOOKUP(E13,Points!$A$2:$D$20,2,FALSE),IF(LEFT(Division,2)="R2",VLOOKUP(E13,Points!$A$2:$D$20,3,FALSE),IF(LEFT(Division,2)="R3",VLOOKUP(E13,Points!$A$2:$D$20,4,FALSE),"DIV ???"))))</f>
        <v>0</v>
      </c>
      <c r="G13" s="216" t="str">
        <f>IF(ISERROR(VLOOKUP(D13,Final!$AF$4:$AI$35,4,FALSE)),"",VLOOKUP(D13,Final!$AF$4:$AI$35,4,FALSE))</f>
        <v/>
      </c>
      <c r="H13" s="216"/>
      <c r="I13" s="216"/>
      <c r="J13" s="216" t="str">
        <f>IF(ISNA(VLOOKUP(D13,Inscrits!B:F,3,FALSE)),"",VLOOKUP(D13,Inscrits!B:F,3,FALSE))</f>
        <v/>
      </c>
      <c r="K13" s="216" t="str">
        <f>IF(ISNA(VLOOKUP(D13,Inscrits!B:F,4,FALSE)),"",VLOOKUP(D13,Inscrits!B:F,4,FALSE))</f>
        <v/>
      </c>
      <c r="L13" s="216" t="str">
        <f>Division</f>
        <v>R1</v>
      </c>
    </row>
    <row r="14" spans="3:16" x14ac:dyDescent="0.3">
      <c r="C14" s="3">
        <v>14</v>
      </c>
      <c r="D14" s="216" t="str">
        <f>'1'!AR17</f>
        <v/>
      </c>
      <c r="E14" s="214"/>
      <c r="F14" s="215">
        <f>IF(ISNA(IF(LEFT(Division,2)="R1",VLOOKUP(E14,Points!$A$2:$D$20,2,FALSE),IF(LEFT(Division,2)="R2",VLOOKUP(E14,Points!$A$2:$D$20,3,FALSE),IF(LEFT(Division,2)="R3",VLOOKUP(E14,Points!$A$2:$D$20,4,FALSE),"DIV ???")))),0,IF(LEFT(Division,2)="R1",VLOOKUP(E14,Points!$A$2:$D$20,2,FALSE),IF(LEFT(Division,2)="R2",VLOOKUP(E14,Points!$A$2:$D$20,3,FALSE),IF(LEFT(Division,2)="R3",VLOOKUP(E14,Points!$A$2:$D$20,4,FALSE),"DIV ???"))))</f>
        <v>0</v>
      </c>
      <c r="G14" s="216" t="str">
        <f>IF(ISERROR(VLOOKUP(D14,Final!$AF$4:$AI$35,4,FALSE)),"",VLOOKUP(D14,Final!$AF$4:$AI$35,4,FALSE))</f>
        <v/>
      </c>
      <c r="H14" s="216"/>
      <c r="I14" s="216"/>
      <c r="J14" s="216" t="str">
        <f>IF(ISNA(VLOOKUP(D14,Inscrits!B:F,3,FALSE)),"",VLOOKUP(D14,Inscrits!B:F,3,FALSE))</f>
        <v/>
      </c>
      <c r="K14" s="216" t="str">
        <f>IF(ISNA(VLOOKUP(D14,Inscrits!B:F,4,FALSE)),"",VLOOKUP(D14,Inscrits!B:F,4,FALSE))</f>
        <v/>
      </c>
      <c r="L14" s="216" t="str">
        <f>IF(NB_JOUEURS_DOWN&gt;3,"Relégué(e)",Division)</f>
        <v>R1</v>
      </c>
    </row>
    <row r="15" spans="3:16" x14ac:dyDescent="0.3">
      <c r="C15" s="3">
        <v>15</v>
      </c>
      <c r="D15" s="216" t="str">
        <f>'2'!AR16</f>
        <v/>
      </c>
      <c r="E15" s="214"/>
      <c r="F15" s="215">
        <f>IF(ISNA(IF(LEFT(Division,2)="R1",VLOOKUP(E15,Points!$A$2:$D$20,2,FALSE),IF(LEFT(Division,2)="R2",VLOOKUP(E15,Points!$A$2:$D$20,3,FALSE),IF(LEFT(Division,2)="R3",VLOOKUP(E15,Points!$A$2:$D$20,4,FALSE),"DIV ???")))),0,IF(LEFT(Division,2)="R1",VLOOKUP(E15,Points!$A$2:$D$20,2,FALSE),IF(LEFT(Division,2)="R2",VLOOKUP(E15,Points!$A$2:$D$20,3,FALSE),IF(LEFT(Division,2)="R3",VLOOKUP(E15,Points!$A$2:$D$20,4,FALSE),"DIV ???"))))</f>
        <v>0</v>
      </c>
      <c r="G15" s="216" t="str">
        <f>IF(ISERROR(VLOOKUP(D15,Final!$AF$4:$AI$35,4,FALSE)),"",VLOOKUP(D15,Final!$AF$4:$AI$35,4,FALSE))</f>
        <v/>
      </c>
      <c r="H15" s="216"/>
      <c r="I15" s="216"/>
      <c r="J15" s="216" t="str">
        <f>IF(ISNA(VLOOKUP(D15,Inscrits!B:F,3,FALSE)),"",VLOOKUP(D15,Inscrits!B:F,3,FALSE))</f>
        <v/>
      </c>
      <c r="K15" s="216" t="str">
        <f>IF(ISNA(VLOOKUP(D15,Inscrits!B:F,4,FALSE)),"",VLOOKUP(D15,Inscrits!B:F,4,FALSE))</f>
        <v/>
      </c>
      <c r="L15" s="216" t="str">
        <f>IF(NB_JOUEURS_DOWN&gt;2,"Relégué(e)",Division)</f>
        <v>R1</v>
      </c>
    </row>
    <row r="16" spans="3:16" x14ac:dyDescent="0.3">
      <c r="C16" s="3">
        <v>13</v>
      </c>
      <c r="D16" s="216" t="str">
        <f>'1'!AR16</f>
        <v/>
      </c>
      <c r="E16" s="214"/>
      <c r="F16" s="215">
        <f>IF(ISNA(IF(LEFT(Division,2)="R1",VLOOKUP(E16,Points!$A$2:$D$20,2,FALSE),IF(LEFT(Division,2)="R2",VLOOKUP(E16,Points!$A$2:$D$20,3,FALSE),IF(LEFT(Division,2)="R3",VLOOKUP(E16,Points!$A$2:$D$20,4,FALSE),"DIV ???")))),0,IF(LEFT(Division,2)="R1",VLOOKUP(E16,Points!$A$2:$D$20,2,FALSE),IF(LEFT(Division,2)="R2",VLOOKUP(E16,Points!$A$2:$D$20,3,FALSE),IF(LEFT(Division,2)="R3",VLOOKUP(E16,Points!$A$2:$D$20,4,FALSE),"DIV ???"))))</f>
        <v>0</v>
      </c>
      <c r="G16" s="216" t="str">
        <f>IF(ISERROR(VLOOKUP(D16,Final!$AF$4:$AI$35,4,FALSE)),"",VLOOKUP(D16,Final!$AF$4:$AI$35,4,FALSE))</f>
        <v/>
      </c>
      <c r="H16" s="216"/>
      <c r="I16" s="216"/>
      <c r="J16" s="216" t="str">
        <f>IF(ISNA(VLOOKUP(D16,Inscrits!B:F,3,FALSE)),"",VLOOKUP(D16,Inscrits!B:F,3,FALSE))</f>
        <v/>
      </c>
      <c r="K16" s="216" t="str">
        <f>IF(ISNA(VLOOKUP(D16,Inscrits!B:F,4,FALSE)),"",VLOOKUP(D16,Inscrits!B:F,4,FALSE))</f>
        <v/>
      </c>
      <c r="L16" s="216" t="str">
        <f>IF(NB_JOUEURS_DOWN&gt;1,"Relégué(e)",Division)</f>
        <v>R1</v>
      </c>
    </row>
    <row r="17" spans="3:12" x14ac:dyDescent="0.3">
      <c r="C17" s="3">
        <v>16</v>
      </c>
      <c r="D17" s="216" t="str">
        <f>'2'!AR17</f>
        <v/>
      </c>
      <c r="E17" s="214"/>
      <c r="F17" s="215">
        <f>IF(ISNA(IF(LEFT(Division,2)="R1",VLOOKUP(E17,Points!$A$2:$D$20,2,FALSE),IF(LEFT(Division,2)="R2",VLOOKUP(E17,Points!$A$2:$D$20,3,FALSE),IF(LEFT(Division,2)="R3",VLOOKUP(E17,Points!$A$2:$D$20,4,FALSE),"DIV ???")))),0,IF(LEFT(Division,2)="R1",VLOOKUP(E17,Points!$A$2:$D$20,2,FALSE),IF(LEFT(Division,2)="R2",VLOOKUP(E17,Points!$A$2:$D$20,3,FALSE),IF(LEFT(Division,2)="R3",VLOOKUP(E17,Points!$A$2:$D$20,4,FALSE),"DIV ???"))))</f>
        <v>0</v>
      </c>
      <c r="G17" s="216" t="str">
        <f>IF(ISERROR(VLOOKUP(D17,Final!$AF$4:$AI$35,4,FALSE)),"",VLOOKUP(D17,Final!$AF$4:$AI$35,4,FALSE))</f>
        <v/>
      </c>
      <c r="H17" s="216"/>
      <c r="I17" s="216"/>
      <c r="J17" s="216" t="str">
        <f>IF(ISNA(VLOOKUP(D17,Inscrits!B:F,3,FALSE)),"",VLOOKUP(D17,Inscrits!B:F,3,FALSE))</f>
        <v/>
      </c>
      <c r="K17" s="216" t="str">
        <f>IF(ISNA(VLOOKUP(D17,Inscrits!B:F,4,FALSE)),"",VLOOKUP(D17,Inscrits!B:F,4,FALSE))</f>
        <v/>
      </c>
      <c r="L17" s="216" t="str">
        <f>IF(NB_JOUEURS_DOWN&gt;0,"Relégué(e)",Division)</f>
        <v>R1</v>
      </c>
    </row>
  </sheetData>
  <phoneticPr fontId="0" type="noConversion"/>
  <conditionalFormatting sqref="L2:L17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48</vt:i4>
      </vt:variant>
    </vt:vector>
  </HeadingPairs>
  <TitlesOfParts>
    <vt:vector size="56" baseType="lpstr">
      <vt:lpstr>Points</vt:lpstr>
      <vt:lpstr>Accueil</vt:lpstr>
      <vt:lpstr>Inscrits</vt:lpstr>
      <vt:lpstr>1</vt:lpstr>
      <vt:lpstr>2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PC</cp:lastModifiedBy>
  <cp:lastPrinted>2005-09-14T20:50:25Z</cp:lastPrinted>
  <dcterms:created xsi:type="dcterms:W3CDTF">2004-12-07T04:18:39Z</dcterms:created>
  <dcterms:modified xsi:type="dcterms:W3CDTF">2019-10-19T18:04:30Z</dcterms:modified>
</cp:coreProperties>
</file>